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AlgorithmName="SHA-512" workbookHashValue="lwX9v71iPQXcZHaEZM6nJ7FA3Q+1wKvTEZbWCXz/bhzSiexnkIdgLqyueZKJm1hAQm3k5beKHuQqNhjXssoEBg==" workbookSaltValue="E2mL+Hz1blKLVjhQOX69IQ==" workbookSpinCount="100000" lockStructure="1"/>
  <bookViews>
    <workbookView xWindow="0" yWindow="0" windowWidth="28800" windowHeight="12585" activeTab="1"/>
  </bookViews>
  <sheets>
    <sheet name="FMX" sheetId="1" r:id="rId1"/>
    <sheet name="Green" sheetId="3" r:id="rId2"/>
    <sheet name="ДАТ" sheetId="2" state="hidden" r:id="rId3"/>
    <sheet name="ДАТ2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4" l="1"/>
  <c r="G57" i="4"/>
  <c r="F57" i="4"/>
  <c r="I57" i="4" s="1"/>
  <c r="J56" i="4"/>
  <c r="G56" i="4"/>
  <c r="F56" i="4"/>
  <c r="I56" i="4" s="1"/>
  <c r="J55" i="4"/>
  <c r="G55" i="4"/>
  <c r="F55" i="4"/>
  <c r="I55" i="4" s="1"/>
  <c r="J54" i="4"/>
  <c r="G54" i="4"/>
  <c r="F54" i="4"/>
  <c r="I54" i="4" s="1"/>
  <c r="J53" i="4"/>
  <c r="G53" i="4"/>
  <c r="F53" i="4"/>
  <c r="I53" i="4" s="1"/>
  <c r="D53" i="4"/>
  <c r="J48" i="4"/>
  <c r="I48" i="4"/>
  <c r="G48" i="4"/>
  <c r="C48" i="4"/>
  <c r="F48" i="4" s="1"/>
  <c r="J47" i="4"/>
  <c r="I47" i="4"/>
  <c r="G47" i="4"/>
  <c r="C47" i="4"/>
  <c r="J46" i="4"/>
  <c r="I46" i="4"/>
  <c r="G46" i="4"/>
  <c r="C46" i="4"/>
  <c r="F46" i="4" s="1"/>
  <c r="J45" i="4"/>
  <c r="I45" i="4"/>
  <c r="K45" i="4" s="1"/>
  <c r="G45" i="4"/>
  <c r="C45" i="4"/>
  <c r="F45" i="4" s="1"/>
  <c r="J44" i="4"/>
  <c r="I44" i="4"/>
  <c r="G44" i="4"/>
  <c r="C44" i="4"/>
  <c r="E44" i="4" s="1"/>
  <c r="B44" i="4"/>
  <c r="J39" i="4"/>
  <c r="I39" i="4"/>
  <c r="G39" i="4"/>
  <c r="C39" i="4"/>
  <c r="F39" i="4" s="1"/>
  <c r="J38" i="4"/>
  <c r="I38" i="4"/>
  <c r="G38" i="4"/>
  <c r="C38" i="4"/>
  <c r="E38" i="4" s="1"/>
  <c r="J37" i="4"/>
  <c r="I37" i="4"/>
  <c r="G37" i="4"/>
  <c r="C37" i="4"/>
  <c r="F37" i="4" s="1"/>
  <c r="J36" i="4"/>
  <c r="I36" i="4"/>
  <c r="G36" i="4"/>
  <c r="C36" i="4"/>
  <c r="E36" i="4" s="1"/>
  <c r="J35" i="4"/>
  <c r="I35" i="4"/>
  <c r="G35" i="4"/>
  <c r="C35" i="4"/>
  <c r="F35" i="4" s="1"/>
  <c r="B35" i="4"/>
  <c r="U21" i="4"/>
  <c r="R21" i="4"/>
  <c r="Q21" i="4"/>
  <c r="G21" i="4"/>
  <c r="D21" i="4"/>
  <c r="C21" i="4"/>
  <c r="U20" i="4"/>
  <c r="R20" i="4"/>
  <c r="Q20" i="4"/>
  <c r="G20" i="4"/>
  <c r="D20" i="4"/>
  <c r="C20" i="4"/>
  <c r="U19" i="4"/>
  <c r="R19" i="4"/>
  <c r="Q19" i="4"/>
  <c r="G19" i="4"/>
  <c r="D19" i="4"/>
  <c r="C19" i="4"/>
  <c r="U18" i="4"/>
  <c r="R18" i="4"/>
  <c r="Q18" i="4"/>
  <c r="G18" i="4"/>
  <c r="D18" i="4"/>
  <c r="C18" i="4"/>
  <c r="U17" i="4"/>
  <c r="R17" i="4"/>
  <c r="Q17" i="4"/>
  <c r="G17" i="4"/>
  <c r="D17" i="4"/>
  <c r="C17" i="4"/>
  <c r="U16" i="4"/>
  <c r="R16" i="4"/>
  <c r="Q16" i="4"/>
  <c r="G16" i="4"/>
  <c r="D16" i="4"/>
  <c r="C16" i="4"/>
  <c r="U15" i="4"/>
  <c r="R15" i="4"/>
  <c r="Q15" i="4"/>
  <c r="G15" i="4"/>
  <c r="D15" i="4"/>
  <c r="C15" i="4"/>
  <c r="U14" i="4"/>
  <c r="J14" i="4" s="1"/>
  <c r="R14" i="4"/>
  <c r="T14" i="4" s="1"/>
  <c r="Q14" i="4"/>
  <c r="G14" i="4"/>
  <c r="D14" i="4"/>
  <c r="C14" i="4"/>
  <c r="U13" i="4"/>
  <c r="J13" i="4" s="1"/>
  <c r="R13" i="4"/>
  <c r="Q13" i="4"/>
  <c r="G13" i="4"/>
  <c r="D13" i="4"/>
  <c r="C13" i="4"/>
  <c r="U12" i="4"/>
  <c r="R12" i="4"/>
  <c r="Q12" i="4"/>
  <c r="G12" i="4"/>
  <c r="D12" i="4"/>
  <c r="C12" i="4"/>
  <c r="O25" i="4"/>
  <c r="H7" i="4"/>
  <c r="G7" i="4"/>
  <c r="F7" i="4"/>
  <c r="E7" i="4"/>
  <c r="D7" i="4"/>
  <c r="H6" i="4"/>
  <c r="G6" i="4"/>
  <c r="F6" i="4"/>
  <c r="E6" i="4"/>
  <c r="D6" i="4"/>
  <c r="I5" i="4"/>
  <c r="H5" i="4"/>
  <c r="G5" i="4"/>
  <c r="F5" i="4"/>
  <c r="E5" i="4"/>
  <c r="D5" i="4"/>
  <c r="I4" i="4"/>
  <c r="H4" i="4"/>
  <c r="G4" i="4"/>
  <c r="F4" i="4"/>
  <c r="E4" i="4"/>
  <c r="D4" i="4"/>
  <c r="I3" i="4"/>
  <c r="H3" i="4"/>
  <c r="G3" i="4"/>
  <c r="F3" i="4"/>
  <c r="E3" i="4"/>
  <c r="D3" i="4"/>
  <c r="C9" i="3"/>
  <c r="R23" i="3"/>
  <c r="R22" i="3"/>
  <c r="E22" i="3"/>
  <c r="R21" i="3"/>
  <c r="G21" i="3"/>
  <c r="F21" i="3"/>
  <c r="R20" i="3"/>
  <c r="G20" i="3"/>
  <c r="F20" i="3"/>
  <c r="R19" i="3"/>
  <c r="G19" i="3"/>
  <c r="F19" i="3"/>
  <c r="R18" i="3"/>
  <c r="G18" i="3"/>
  <c r="F18" i="3"/>
  <c r="R17" i="3"/>
  <c r="G17" i="3"/>
  <c r="F17" i="3"/>
  <c r="R16" i="3"/>
  <c r="G16" i="3"/>
  <c r="F16" i="3"/>
  <c r="R15" i="3"/>
  <c r="G15" i="3"/>
  <c r="F15" i="3"/>
  <c r="R14" i="3"/>
  <c r="G14" i="3"/>
  <c r="F14" i="3"/>
  <c r="R13" i="3"/>
  <c r="G13" i="3"/>
  <c r="F13" i="3"/>
  <c r="R12" i="3"/>
  <c r="G12" i="3"/>
  <c r="F12" i="3"/>
  <c r="R23" i="1"/>
  <c r="R22" i="1"/>
  <c r="R21" i="1"/>
  <c r="R20" i="1"/>
  <c r="R19" i="1"/>
  <c r="R18" i="1"/>
  <c r="R17" i="1"/>
  <c r="R16" i="1"/>
  <c r="R15" i="1"/>
  <c r="R14" i="1"/>
  <c r="R13" i="1"/>
  <c r="R12" i="1"/>
  <c r="C12" i="2"/>
  <c r="R21" i="2"/>
  <c r="R20" i="2"/>
  <c r="R19" i="2"/>
  <c r="R18" i="2"/>
  <c r="R17" i="2"/>
  <c r="R12" i="2"/>
  <c r="Q21" i="2"/>
  <c r="Q20" i="2"/>
  <c r="Q19" i="2"/>
  <c r="Q18" i="2"/>
  <c r="Q17" i="2"/>
  <c r="Q12" i="2"/>
  <c r="U21" i="2"/>
  <c r="U20" i="2"/>
  <c r="U19" i="2"/>
  <c r="U18" i="2"/>
  <c r="U17" i="2"/>
  <c r="G21" i="2"/>
  <c r="G20" i="2"/>
  <c r="G19" i="2"/>
  <c r="G18" i="2"/>
  <c r="G17" i="2"/>
  <c r="G14" i="2"/>
  <c r="G16" i="2"/>
  <c r="D21" i="2"/>
  <c r="D20" i="2"/>
  <c r="D19" i="2"/>
  <c r="D18" i="2"/>
  <c r="D17" i="2"/>
  <c r="C21" i="2"/>
  <c r="C20" i="2"/>
  <c r="C19" i="2"/>
  <c r="C18" i="2"/>
  <c r="C17" i="2"/>
  <c r="F16" i="1"/>
  <c r="G16" i="1"/>
  <c r="F17" i="1"/>
  <c r="G17" i="1"/>
  <c r="F18" i="1"/>
  <c r="G18" i="1"/>
  <c r="F19" i="1"/>
  <c r="G19" i="1"/>
  <c r="F20" i="1"/>
  <c r="G20" i="1"/>
  <c r="F21" i="1"/>
  <c r="G21" i="1"/>
  <c r="E22" i="1"/>
  <c r="J20" i="4" l="1"/>
  <c r="T20" i="4"/>
  <c r="T15" i="4"/>
  <c r="E15" i="4"/>
  <c r="F18" i="4"/>
  <c r="S18" i="4"/>
  <c r="H54" i="4"/>
  <c r="L54" i="4" s="1"/>
  <c r="N13" i="4" s="1"/>
  <c r="T18" i="4"/>
  <c r="T21" i="4"/>
  <c r="H53" i="4"/>
  <c r="L53" i="4" s="1"/>
  <c r="N12" i="4" s="1"/>
  <c r="S15" i="4"/>
  <c r="I15" i="4" s="1"/>
  <c r="H57" i="4"/>
  <c r="L57" i="4" s="1"/>
  <c r="N16" i="4" s="1"/>
  <c r="S20" i="4"/>
  <c r="T19" i="4"/>
  <c r="R24" i="1"/>
  <c r="T17" i="4"/>
  <c r="J18" i="4"/>
  <c r="E20" i="4"/>
  <c r="K47" i="4"/>
  <c r="L47" i="4" s="1"/>
  <c r="T16" i="4"/>
  <c r="I20" i="4"/>
  <c r="K20" i="4" s="1"/>
  <c r="H20" i="3" s="1"/>
  <c r="I20" i="3" s="1"/>
  <c r="J15" i="4"/>
  <c r="E21" i="4"/>
  <c r="F16" i="4"/>
  <c r="F12" i="4"/>
  <c r="J16" i="4"/>
  <c r="J19" i="4"/>
  <c r="F44" i="4"/>
  <c r="E46" i="4"/>
  <c r="H46" i="4" s="1"/>
  <c r="E48" i="4"/>
  <c r="H48" i="4" s="1"/>
  <c r="E37" i="4"/>
  <c r="H37" i="4" s="1"/>
  <c r="J17" i="4"/>
  <c r="J12" i="4"/>
  <c r="J21" i="4"/>
  <c r="H36" i="4"/>
  <c r="S12" i="4"/>
  <c r="E18" i="4"/>
  <c r="I18" i="4" s="1"/>
  <c r="F17" i="4"/>
  <c r="M45" i="4"/>
  <c r="O45" i="4" s="1"/>
  <c r="T12" i="4"/>
  <c r="P45" i="4"/>
  <c r="M13" i="4" s="1"/>
  <c r="Q38" i="4"/>
  <c r="F15" i="4"/>
  <c r="F20" i="4"/>
  <c r="H56" i="4"/>
  <c r="L56" i="4" s="1"/>
  <c r="N15" i="4" s="1"/>
  <c r="F14" i="4"/>
  <c r="F19" i="4"/>
  <c r="H55" i="4"/>
  <c r="L55" i="4" s="1"/>
  <c r="N14" i="4" s="1"/>
  <c r="E39" i="4"/>
  <c r="H39" i="4" s="1"/>
  <c r="H38" i="4"/>
  <c r="H44" i="4"/>
  <c r="F36" i="4"/>
  <c r="K36" i="4"/>
  <c r="M36" i="4" s="1"/>
  <c r="O36" i="4" s="1"/>
  <c r="K38" i="4"/>
  <c r="M38" i="4" s="1"/>
  <c r="O38" i="4" s="1"/>
  <c r="F47" i="4"/>
  <c r="E35" i="4"/>
  <c r="H35" i="4" s="1"/>
  <c r="F38" i="4"/>
  <c r="Q46" i="4"/>
  <c r="L45" i="4"/>
  <c r="Q37" i="4"/>
  <c r="Q45" i="4"/>
  <c r="K46" i="4"/>
  <c r="E47" i="4"/>
  <c r="H47" i="4" s="1"/>
  <c r="Q36" i="4"/>
  <c r="K37" i="4"/>
  <c r="L37" i="4" s="1"/>
  <c r="P44" i="4"/>
  <c r="M12" i="4" s="1"/>
  <c r="P35" i="4"/>
  <c r="L12" i="4" s="1"/>
  <c r="Q44" i="4"/>
  <c r="Q48" i="4"/>
  <c r="Q39" i="4"/>
  <c r="K44" i="4"/>
  <c r="L44" i="4" s="1"/>
  <c r="E45" i="4"/>
  <c r="H45" i="4" s="1"/>
  <c r="Q47" i="4"/>
  <c r="K48" i="4"/>
  <c r="M48" i="4" s="1"/>
  <c r="O48" i="4" s="1"/>
  <c r="Q35" i="4"/>
  <c r="K35" i="4"/>
  <c r="M35" i="4" s="1"/>
  <c r="O35" i="4" s="1"/>
  <c r="K39" i="4"/>
  <c r="M39" i="4" s="1"/>
  <c r="O39" i="4" s="1"/>
  <c r="F21" i="4"/>
  <c r="T13" i="4"/>
  <c r="E13" i="4"/>
  <c r="F13" i="4"/>
  <c r="E12" i="4"/>
  <c r="S17" i="4"/>
  <c r="I17" i="4" s="1"/>
  <c r="S14" i="4"/>
  <c r="S19" i="4"/>
  <c r="S16" i="4"/>
  <c r="S13" i="4"/>
  <c r="S21" i="4"/>
  <c r="E17" i="4"/>
  <c r="E14" i="4"/>
  <c r="E19" i="4"/>
  <c r="E16" i="4"/>
  <c r="G22" i="3"/>
  <c r="F22" i="3"/>
  <c r="R24" i="3"/>
  <c r="J19" i="2"/>
  <c r="F20" i="2"/>
  <c r="E19" i="2"/>
  <c r="E20" i="2"/>
  <c r="F18" i="2"/>
  <c r="E17" i="2"/>
  <c r="E21" i="2"/>
  <c r="J18" i="2"/>
  <c r="J20" i="2"/>
  <c r="J17" i="2"/>
  <c r="J21" i="2"/>
  <c r="E18" i="2"/>
  <c r="F21" i="2"/>
  <c r="F19" i="2"/>
  <c r="F17" i="2"/>
  <c r="S17" i="2"/>
  <c r="T21" i="2"/>
  <c r="S20" i="2"/>
  <c r="T19" i="2"/>
  <c r="S18" i="2"/>
  <c r="S21" i="2"/>
  <c r="T20" i="2"/>
  <c r="S19" i="2"/>
  <c r="T18" i="2"/>
  <c r="T17" i="2"/>
  <c r="Q16" i="2"/>
  <c r="Q15" i="2"/>
  <c r="Q14" i="2"/>
  <c r="Q13" i="2"/>
  <c r="C16" i="2"/>
  <c r="C15" i="2"/>
  <c r="C14" i="2"/>
  <c r="C13" i="2"/>
  <c r="F57" i="2"/>
  <c r="I57" i="2" s="1"/>
  <c r="F56" i="2"/>
  <c r="F55" i="2"/>
  <c r="I55" i="2" s="1"/>
  <c r="F54" i="2"/>
  <c r="F53" i="2"/>
  <c r="R16" i="2"/>
  <c r="R15" i="2"/>
  <c r="R14" i="2"/>
  <c r="R13" i="2"/>
  <c r="D16" i="2"/>
  <c r="D15" i="2"/>
  <c r="D14" i="2"/>
  <c r="D13" i="2"/>
  <c r="D12" i="2"/>
  <c r="G57" i="2"/>
  <c r="G56" i="2"/>
  <c r="G55" i="2"/>
  <c r="G54" i="2"/>
  <c r="G53" i="2"/>
  <c r="J44" i="2"/>
  <c r="I44" i="2"/>
  <c r="J57" i="2"/>
  <c r="J56" i="2"/>
  <c r="J55" i="2"/>
  <c r="J54" i="2"/>
  <c r="J53" i="2"/>
  <c r="D53" i="2"/>
  <c r="G15" i="1"/>
  <c r="G14" i="1"/>
  <c r="G13" i="1"/>
  <c r="G12" i="1"/>
  <c r="F15" i="1"/>
  <c r="F14" i="1"/>
  <c r="F13" i="1"/>
  <c r="F12" i="1"/>
  <c r="M47" i="4" l="1"/>
  <c r="O47" i="4" s="1"/>
  <c r="P47" i="4" s="1"/>
  <c r="M15" i="4" s="1"/>
  <c r="K18" i="4"/>
  <c r="H18" i="3" s="1"/>
  <c r="I18" i="3" s="1"/>
  <c r="K15" i="4"/>
  <c r="H15" i="3" s="1"/>
  <c r="I15" i="3" s="1"/>
  <c r="P36" i="4"/>
  <c r="L13" i="4" s="1"/>
  <c r="I12" i="4"/>
  <c r="K12" i="4" s="1"/>
  <c r="H12" i="3" s="1"/>
  <c r="P48" i="4"/>
  <c r="M16" i="4" s="1"/>
  <c r="L38" i="4"/>
  <c r="L36" i="4"/>
  <c r="P38" i="4"/>
  <c r="L15" i="4" s="1"/>
  <c r="M37" i="4"/>
  <c r="O37" i="4" s="1"/>
  <c r="P37" i="4" s="1"/>
  <c r="L14" i="4" s="1"/>
  <c r="L48" i="4"/>
  <c r="M46" i="4"/>
  <c r="O46" i="4" s="1"/>
  <c r="P46" i="4" s="1"/>
  <c r="M14" i="4" s="1"/>
  <c r="L39" i="4"/>
  <c r="L46" i="4"/>
  <c r="M44" i="4"/>
  <c r="O44" i="4" s="1"/>
  <c r="L35" i="4"/>
  <c r="P39" i="4"/>
  <c r="L16" i="4" s="1"/>
  <c r="I19" i="4"/>
  <c r="I14" i="4"/>
  <c r="K14" i="4" s="1"/>
  <c r="I16" i="4"/>
  <c r="K16" i="4" s="1"/>
  <c r="H16" i="3" s="1"/>
  <c r="I16" i="3" s="1"/>
  <c r="I21" i="4"/>
  <c r="K21" i="4" s="1"/>
  <c r="I13" i="4"/>
  <c r="K17" i="4"/>
  <c r="H17" i="3" s="1"/>
  <c r="I17" i="3" s="1"/>
  <c r="I19" i="2"/>
  <c r="K19" i="2" s="1"/>
  <c r="I20" i="2"/>
  <c r="K20" i="2" s="1"/>
  <c r="H20" i="1" s="1"/>
  <c r="I17" i="2"/>
  <c r="K17" i="2" s="1"/>
  <c r="H17" i="1" s="1"/>
  <c r="I18" i="2"/>
  <c r="K18" i="2" s="1"/>
  <c r="H18" i="1" s="1"/>
  <c r="F22" i="1"/>
  <c r="G22" i="1"/>
  <c r="I21" i="2"/>
  <c r="K21" i="2" s="1"/>
  <c r="H21" i="1" s="1"/>
  <c r="I54" i="2"/>
  <c r="I56" i="2"/>
  <c r="I53" i="2"/>
  <c r="H54" i="2"/>
  <c r="H56" i="2"/>
  <c r="H53" i="2"/>
  <c r="H55" i="2"/>
  <c r="L55" i="2" s="1"/>
  <c r="N14" i="2" s="1"/>
  <c r="H57" i="2"/>
  <c r="L57" i="2" s="1"/>
  <c r="N16" i="2" s="1"/>
  <c r="J39" i="2"/>
  <c r="J38" i="2"/>
  <c r="J37" i="2"/>
  <c r="J36" i="2"/>
  <c r="J35" i="2"/>
  <c r="I39" i="2"/>
  <c r="I38" i="2"/>
  <c r="I37" i="2"/>
  <c r="I36" i="2"/>
  <c r="I35" i="2"/>
  <c r="J48" i="2"/>
  <c r="J47" i="2"/>
  <c r="J46" i="2"/>
  <c r="J45" i="2"/>
  <c r="I48" i="2"/>
  <c r="I47" i="2"/>
  <c r="I46" i="2"/>
  <c r="I45" i="2"/>
  <c r="G39" i="2"/>
  <c r="G38" i="2"/>
  <c r="G37" i="2"/>
  <c r="G36" i="2"/>
  <c r="G35" i="2"/>
  <c r="G44" i="2"/>
  <c r="C39" i="2"/>
  <c r="E39" i="2" s="1"/>
  <c r="C38" i="2"/>
  <c r="E38" i="2" s="1"/>
  <c r="C37" i="2"/>
  <c r="E37" i="2" s="1"/>
  <c r="C36" i="2"/>
  <c r="F36" i="2" s="1"/>
  <c r="C35" i="2"/>
  <c r="E35" i="2" s="1"/>
  <c r="B35" i="2"/>
  <c r="G48" i="2"/>
  <c r="G47" i="2"/>
  <c r="G46" i="2"/>
  <c r="G45" i="2"/>
  <c r="G12" i="2"/>
  <c r="C48" i="2"/>
  <c r="E48" i="2" s="1"/>
  <c r="C47" i="2"/>
  <c r="F47" i="2" s="1"/>
  <c r="C46" i="2"/>
  <c r="C45" i="2"/>
  <c r="C44" i="2"/>
  <c r="B44" i="2"/>
  <c r="K19" i="4" l="1"/>
  <c r="H19" i="3" s="1"/>
  <c r="I19" i="3" s="1"/>
  <c r="H21" i="3"/>
  <c r="I21" i="3" s="1"/>
  <c r="H14" i="3"/>
  <c r="I14" i="3" s="1"/>
  <c r="K13" i="4"/>
  <c r="H13" i="3" s="1"/>
  <c r="I12" i="3"/>
  <c r="I20" i="1"/>
  <c r="I18" i="1"/>
  <c r="H19" i="1"/>
  <c r="I19" i="1" s="1"/>
  <c r="I17" i="1"/>
  <c r="I21" i="1"/>
  <c r="L54" i="2"/>
  <c r="N13" i="2" s="1"/>
  <c r="L56" i="2"/>
  <c r="N15" i="2" s="1"/>
  <c r="L53" i="2"/>
  <c r="N12" i="2" s="1"/>
  <c r="F37" i="2"/>
  <c r="E36" i="2"/>
  <c r="H36" i="2" s="1"/>
  <c r="F35" i="2"/>
  <c r="F39" i="2"/>
  <c r="K48" i="2"/>
  <c r="L48" i="2" s="1"/>
  <c r="H38" i="2"/>
  <c r="H35" i="2"/>
  <c r="H39" i="2"/>
  <c r="Q44" i="2"/>
  <c r="K35" i="2"/>
  <c r="M35" i="2" s="1"/>
  <c r="O35" i="2" s="1"/>
  <c r="F38" i="2"/>
  <c r="K37" i="2"/>
  <c r="L37" i="2" s="1"/>
  <c r="K38" i="2"/>
  <c r="K44" i="2"/>
  <c r="L44" i="2" s="1"/>
  <c r="K47" i="2"/>
  <c r="Q35" i="2"/>
  <c r="Q48" i="2"/>
  <c r="Q39" i="2"/>
  <c r="K39" i="2"/>
  <c r="Q38" i="2"/>
  <c r="Q47" i="2"/>
  <c r="K46" i="2"/>
  <c r="L46" i="2" s="1"/>
  <c r="Q37" i="2"/>
  <c r="Q46" i="2"/>
  <c r="K45" i="2"/>
  <c r="L45" i="2" s="1"/>
  <c r="Q36" i="2"/>
  <c r="Q45" i="2"/>
  <c r="K36" i="2"/>
  <c r="L36" i="2" s="1"/>
  <c r="H37" i="2"/>
  <c r="H48" i="2"/>
  <c r="E45" i="2"/>
  <c r="H45" i="2" s="1"/>
  <c r="F44" i="2"/>
  <c r="E47" i="2"/>
  <c r="H47" i="2" s="1"/>
  <c r="F48" i="2"/>
  <c r="F46" i="2"/>
  <c r="E46" i="2"/>
  <c r="H46" i="2" s="1"/>
  <c r="E44" i="2"/>
  <c r="H44" i="2" s="1"/>
  <c r="F45" i="2"/>
  <c r="U12" i="2"/>
  <c r="J12" i="2" s="1"/>
  <c r="U14" i="2"/>
  <c r="U16" i="2"/>
  <c r="U15" i="2"/>
  <c r="G15" i="2"/>
  <c r="U13" i="2"/>
  <c r="G13" i="2"/>
  <c r="I7" i="2"/>
  <c r="I6" i="2"/>
  <c r="I5" i="2"/>
  <c r="H7" i="2"/>
  <c r="H6" i="2"/>
  <c r="H5" i="2"/>
  <c r="G7" i="2"/>
  <c r="G6" i="2"/>
  <c r="G5" i="2"/>
  <c r="F7" i="2"/>
  <c r="F6" i="2"/>
  <c r="F5" i="2"/>
  <c r="E7" i="2"/>
  <c r="E6" i="2"/>
  <c r="E5" i="2"/>
  <c r="D7" i="2"/>
  <c r="D6" i="2"/>
  <c r="D5" i="2"/>
  <c r="C9" i="1"/>
  <c r="I4" i="2"/>
  <c r="H4" i="2"/>
  <c r="G4" i="2"/>
  <c r="F4" i="2"/>
  <c r="E4" i="2"/>
  <c r="D4" i="2"/>
  <c r="I3" i="2"/>
  <c r="H3" i="2"/>
  <c r="G3" i="2"/>
  <c r="F3" i="2"/>
  <c r="E3" i="2"/>
  <c r="D3" i="2"/>
  <c r="I13" i="3" l="1"/>
  <c r="I22" i="3" s="1"/>
  <c r="N26" i="3" s="1"/>
  <c r="H22" i="3"/>
  <c r="P35" i="2"/>
  <c r="L12" i="2" s="1"/>
  <c r="M36" i="2"/>
  <c r="O36" i="2" s="1"/>
  <c r="P36" i="2" s="1"/>
  <c r="L13" i="2" s="1"/>
  <c r="L38" i="2"/>
  <c r="M39" i="2"/>
  <c r="O39" i="2" s="1"/>
  <c r="P39" i="2" s="1"/>
  <c r="L16" i="2" s="1"/>
  <c r="M37" i="2"/>
  <c r="L35" i="2"/>
  <c r="M38" i="2"/>
  <c r="O38" i="2" s="1"/>
  <c r="P38" i="2" s="1"/>
  <c r="L39" i="2"/>
  <c r="M45" i="2"/>
  <c r="O45" i="2" s="1"/>
  <c r="P45" i="2" s="1"/>
  <c r="M46" i="2"/>
  <c r="O46" i="2" s="1"/>
  <c r="P46" i="2" s="1"/>
  <c r="M44" i="2"/>
  <c r="O44" i="2" s="1"/>
  <c r="P44" i="2" s="1"/>
  <c r="M48" i="2"/>
  <c r="O48" i="2" s="1"/>
  <c r="P48" i="2" s="1"/>
  <c r="M47" i="2"/>
  <c r="O47" i="2" s="1"/>
  <c r="P47" i="2" s="1"/>
  <c r="L47" i="2"/>
  <c r="J15" i="2"/>
  <c r="J14" i="2"/>
  <c r="E13" i="2"/>
  <c r="S15" i="2"/>
  <c r="F12" i="2"/>
  <c r="S12" i="2"/>
  <c r="E12" i="2"/>
  <c r="J13" i="2"/>
  <c r="J16" i="2"/>
  <c r="T15" i="2"/>
  <c r="T13" i="2"/>
  <c r="T16" i="2"/>
  <c r="S14" i="2"/>
  <c r="T12" i="2"/>
  <c r="S13" i="2"/>
  <c r="S16" i="2"/>
  <c r="T14" i="2"/>
  <c r="E15" i="2"/>
  <c r="E14" i="2"/>
  <c r="F16" i="2"/>
  <c r="F15" i="2"/>
  <c r="E16" i="2"/>
  <c r="F14" i="2"/>
  <c r="F13" i="2"/>
  <c r="I13" i="2" l="1"/>
  <c r="K13" i="2" s="1"/>
  <c r="H13" i="1" s="1"/>
  <c r="I12" i="2"/>
  <c r="I15" i="2"/>
  <c r="I16" i="2"/>
  <c r="K16" i="2" s="1"/>
  <c r="H16" i="1" s="1"/>
  <c r="I14" i="2"/>
  <c r="M15" i="2"/>
  <c r="M16" i="2"/>
  <c r="L15" i="2"/>
  <c r="M14" i="2"/>
  <c r="O37" i="2"/>
  <c r="M13" i="2"/>
  <c r="M12" i="2"/>
  <c r="I13" i="1" l="1"/>
  <c r="K15" i="2"/>
  <c r="K12" i="2"/>
  <c r="P37" i="2"/>
  <c r="L14" i="2" s="1"/>
  <c r="K14" i="2"/>
  <c r="I16" i="1"/>
  <c r="H12" i="1" l="1"/>
  <c r="I12" i="1" s="1"/>
  <c r="H15" i="1"/>
  <c r="I15" i="1" s="1"/>
  <c r="H14" i="1"/>
  <c r="I14" i="1" s="1"/>
  <c r="H22" i="1" l="1"/>
  <c r="I22" i="1"/>
  <c r="N26" i="1" s="1"/>
</calcChain>
</file>

<file path=xl/sharedStrings.xml><?xml version="1.0" encoding="utf-8"?>
<sst xmlns="http://schemas.openxmlformats.org/spreadsheetml/2006/main" count="321" uniqueCount="119">
  <si>
    <t>Коллекция</t>
  </si>
  <si>
    <t>0085</t>
  </si>
  <si>
    <t>0085/0080/0077/0074/0851</t>
  </si>
  <si>
    <t>№</t>
  </si>
  <si>
    <t>Длина, мм</t>
  </si>
  <si>
    <t>Ширина, мм</t>
  </si>
  <si>
    <t>Кол-во, шт</t>
  </si>
  <si>
    <t>Периметр, м.п.</t>
  </si>
  <si>
    <t>Площадь, м2</t>
  </si>
  <si>
    <t>0085/0080/0077/2286/0741/0755</t>
  </si>
  <si>
    <t>0794/0793/0497/0428/0427/0426/0421/0406/0394/0386/0344/0027/0026</t>
  </si>
  <si>
    <t>Цена, евро/м2</t>
  </si>
  <si>
    <t>нет декоров</t>
  </si>
  <si>
    <t>Interior FH/FH</t>
  </si>
  <si>
    <t>Aptico, Saxum, Enduro</t>
  </si>
  <si>
    <t>м2</t>
  </si>
  <si>
    <t>евро/м2</t>
  </si>
  <si>
    <t>цены за материал менять только тут, евро/м2</t>
  </si>
  <si>
    <t>ничего больше нигде не трогать!!!</t>
  </si>
  <si>
    <t>Цена, евро/лист</t>
  </si>
  <si>
    <t>Кол-во, шт/лист</t>
  </si>
  <si>
    <t>Сумма обработки, евро</t>
  </si>
  <si>
    <t>Цена, евро/шт</t>
  </si>
  <si>
    <t>КухСтол, евро</t>
  </si>
  <si>
    <t>КухФас, евро</t>
  </si>
  <si>
    <t>HoReCa</t>
  </si>
  <si>
    <t>1300</t>
  </si>
  <si>
    <t>1854</t>
  </si>
  <si>
    <t>РАБОЧАЯ ТАБЛИЦА HoReCa</t>
  </si>
  <si>
    <t>прямой расчет</t>
  </si>
  <si>
    <t>РАБОЧАЯ ТАБЛИЦА КухФас</t>
  </si>
  <si>
    <t>FH</t>
  </si>
  <si>
    <t>AP/SX/NN</t>
  </si>
  <si>
    <t>КухСтол</t>
  </si>
  <si>
    <t>КухФас</t>
  </si>
  <si>
    <t>от</t>
  </si>
  <si>
    <t>до</t>
  </si>
  <si>
    <t>Курс евро ЦБ РФ</t>
  </si>
  <si>
    <r>
      <rPr>
        <b/>
        <sz val="11"/>
        <color rgb="FFFF0000"/>
        <rFont val="Calibri"/>
        <family val="2"/>
        <charset val="204"/>
        <scheme val="minor"/>
      </rPr>
      <t>параметры</t>
    </r>
    <r>
      <rPr>
        <b/>
        <sz val="11"/>
        <color theme="1"/>
        <rFont val="Calibri"/>
        <family val="2"/>
        <charset val="204"/>
        <scheme val="minor"/>
      </rPr>
      <t>, которые участвуют в формулах ниже</t>
    </r>
  </si>
  <si>
    <t>Ширина детали, мм</t>
  </si>
  <si>
    <t>Длина детали, мм</t>
  </si>
  <si>
    <t>ТИП ИЗДЕЛИЯ</t>
  </si>
  <si>
    <t>коллекция</t>
  </si>
  <si>
    <t>ДЕКОРЫ</t>
  </si>
  <si>
    <t>Дополнительные услуги</t>
  </si>
  <si>
    <t>ИТОГО 1:</t>
  </si>
  <si>
    <t>ИТОГО 2:</t>
  </si>
  <si>
    <t>ИТОГО 1+2:</t>
  </si>
  <si>
    <t xml:space="preserve">                     FUNDERMAX</t>
  </si>
  <si>
    <t>Примечания:</t>
  </si>
  <si>
    <t>- поля для введения параметров</t>
  </si>
  <si>
    <t>1. Стоимость приведена с НДС 20%;</t>
  </si>
  <si>
    <t>Ед. изм.</t>
  </si>
  <si>
    <t>п.м.</t>
  </si>
  <si>
    <t>шт.</t>
  </si>
  <si>
    <t>Виды кромок:</t>
  </si>
  <si>
    <t>КУХОННАЯ СТОЛЕШНИЦА и ФАРТУК</t>
  </si>
  <si>
    <t>Цена, евро/м.п.</t>
  </si>
  <si>
    <t>Цена обработки, евро/м.п.</t>
  </si>
  <si>
    <t>сводная по стоимости</t>
  </si>
  <si>
    <t>HoReCa, евро</t>
  </si>
  <si>
    <t>Бортик</t>
  </si>
  <si>
    <t>РАБОЧАЯ ТАБЛИЦА Бортик</t>
  </si>
  <si>
    <t>Цена обработки для КухСтол, евро/м.п.</t>
  </si>
  <si>
    <t>Бортик, евро</t>
  </si>
  <si>
    <t>Коэф.</t>
  </si>
  <si>
    <t>Interior APTICO, AP/RR, черная сердцевина, 12 мм</t>
  </si>
  <si>
    <t>Interior COLOUR, FH/FH, белая сердцевина, 12 мм</t>
  </si>
  <si>
    <t>Interior COLOUR, FH/FH, черная сердцевина, 12 мм</t>
  </si>
  <si>
    <t>Interior NATURE &amp; MATERIAL, FH/FH, черная сердцевина, 12 мм</t>
  </si>
  <si>
    <t>Interior SAXUM, SX/IP, черная сердцевина, 12 мм</t>
  </si>
  <si>
    <t>Exterior ENDURO, NW/NN, черная сердцевина, 12 мм</t>
  </si>
  <si>
    <t>Установка мебельной муфты под винт М5, М6, М8</t>
  </si>
  <si>
    <t>ПЛИНТУС и БОРТИК</t>
  </si>
  <si>
    <t>КУХОННАЯ СТОЛЕШНИЦА, СТЕНОВАЯ ПАНЕЛЬ/ФАРТУК и БОРТИК/ПЛИНТУС</t>
  </si>
  <si>
    <t>3. Максимальный размер изделия по ширине – 1280 мм (для AP/RR, SX/IP, NW/NN) и 1830 мм (для FH/FH), по длине – 4080 мм;</t>
  </si>
  <si>
    <t>6. Для коллекций Nature &amp; Material и Enduro – направление рисунка декора вдоль Длины детали, для остальных коллекций – направление рисунка значения не имеет;</t>
  </si>
  <si>
    <t>Изготовление индивидуального паллета</t>
  </si>
  <si>
    <t>Вырез произвольной формы и размера</t>
  </si>
  <si>
    <t>Индивидуальная упаковка мягкая</t>
  </si>
  <si>
    <t>Спец. упаковка жесткая</t>
  </si>
  <si>
    <t>Усиленная упаковка</t>
  </si>
  <si>
    <t>Соединение столешниц (еврозапил или прямой стык)</t>
  </si>
  <si>
    <t>Кол-во</t>
  </si>
  <si>
    <t>Стоимость,
руб</t>
  </si>
  <si>
    <t>Стоимость,
евро</t>
  </si>
  <si>
    <t>Обработка кромки по Тип-4 или Тип-5</t>
  </si>
  <si>
    <t>Цена,
руб/ед.</t>
  </si>
  <si>
    <t>Стоимость,
руб.</t>
  </si>
  <si>
    <t>0606/0080/0077/0075/0018/0693</t>
  </si>
  <si>
    <t>5. Минимальный радиус скругления внутренних углов – 6 мм, минимальный радиус скругления внешних углов – ограничений нет;</t>
  </si>
  <si>
    <t>Вырез под технику (накладная)</t>
  </si>
  <si>
    <t>Вырез под технику (вровень/подклейка снизу)</t>
  </si>
  <si>
    <t>Вырез отверстия Ø до 100 мм</t>
  </si>
  <si>
    <r>
      <t xml:space="preserve">Гравировка, фреза </t>
    </r>
    <r>
      <rPr>
        <sz val="11"/>
        <color theme="1"/>
        <rFont val="Calibri"/>
        <family val="2"/>
      </rPr>
      <t>Ø 1мм</t>
    </r>
  </si>
  <si>
    <t>2. В стоимость включена обработка деталей с кромкой Тип-1/Тип-2/Тип-3 + шлифовка;</t>
  </si>
  <si>
    <t>GREENLAM</t>
  </si>
  <si>
    <t>AFX (супермат+), черная сердцевина, 12 мм</t>
  </si>
  <si>
    <t>9861/9854</t>
  </si>
  <si>
    <t>111/121/401/271/261</t>
  </si>
  <si>
    <t>6. Соединения столешниц:</t>
  </si>
  <si>
    <r>
      <t xml:space="preserve">- </t>
    </r>
    <r>
      <rPr>
        <i/>
        <u/>
        <sz val="11"/>
        <color theme="1"/>
        <rFont val="Calibri"/>
        <family val="2"/>
        <charset val="204"/>
        <scheme val="minor"/>
      </rPr>
      <t>Прямой стык</t>
    </r>
    <r>
      <rPr>
        <i/>
        <sz val="11"/>
        <color theme="1"/>
        <rFont val="Calibri"/>
        <family val="2"/>
        <charset val="204"/>
        <scheme val="minor"/>
      </rPr>
      <t xml:space="preserve">  столешницы возможен только с фаской тип 1. Если с помощью прямого стыка необходимо нарастить длину, стык возможно изготовить как с фаской тип 1, так и без обработки (по запросу).</t>
    </r>
  </si>
  <si>
    <r>
      <t xml:space="preserve">- </t>
    </r>
    <r>
      <rPr>
        <i/>
        <u/>
        <sz val="11"/>
        <color theme="1"/>
        <rFont val="Calibri"/>
        <family val="2"/>
        <charset val="204"/>
        <scheme val="minor"/>
      </rPr>
      <t>Еврозапил,</t>
    </r>
    <r>
      <rPr>
        <i/>
        <sz val="11"/>
        <color theme="1"/>
        <rFont val="Calibri"/>
        <family val="2"/>
        <charset val="204"/>
        <scheme val="minor"/>
      </rPr>
      <t xml:space="preserve"> по умолчанию, изготавливается без фаски, но возможно так же изготовление с фаской тип 1 (по запросу).</t>
    </r>
  </si>
  <si>
    <r>
      <t>7. Внешние торцы изделий без обработки (без фаски) требуют аккуратного обращения при монтаже, поскольку данные торцы более подвержены образованию сколов</t>
    </r>
    <r>
      <rPr>
        <sz val="11"/>
        <color theme="1"/>
        <rFont val="Calibri"/>
        <family val="2"/>
        <charset val="204"/>
        <scheme val="minor"/>
      </rPr>
      <t>.</t>
    </r>
  </si>
  <si>
    <t>8. Все изделия, у которых расстояние от края выреза до внешнего края столешницы менее 50 мм по умолчанию идут со спец. упаковкой</t>
  </si>
  <si>
    <t>7. Соединения столешниц:</t>
  </si>
  <si>
    <r>
      <t>8. Внешние торцы изделий без обработки (без фаски) требуют аккуратного обращения при монтаже, поскольку данные торцы более подвержены образованию сколов</t>
    </r>
    <r>
      <rPr>
        <sz val="11"/>
        <color theme="1"/>
        <rFont val="Calibri"/>
        <family val="2"/>
        <charset val="204"/>
        <scheme val="minor"/>
      </rPr>
      <t>.</t>
    </r>
  </si>
  <si>
    <t>9. Все изделия, у которых расстояние от края выреза до внешнего края столешницы менее 50 мм по умолчанию идут со спец. упаковкой</t>
  </si>
  <si>
    <t>4. Минимальный размер изделия по ширине – 50 мм, по длине – 150 мм;</t>
  </si>
  <si>
    <t>3. Максимальный размер изделия по ширине – 1280 мм (для SAT, TER, PGR, AFX) и 1810 мм (для SUE), по длине – 3030 мм (для SAT, TER, PGR, AFX) и 3640 мм (для SUE);</t>
  </si>
  <si>
    <t>SUE</t>
  </si>
  <si>
    <t>AFX/SAT/TER/PGR</t>
  </si>
  <si>
    <t>AFX, SAT, TER, PGR</t>
  </si>
  <si>
    <t>TER &amp; PGR (фактурный), черная сердцевина, 12 мм</t>
  </si>
  <si>
    <t>5577/5578/5773/5774/5427/5076</t>
  </si>
  <si>
    <t>SUE (шагрень), черная сердцевина, 12 мм</t>
  </si>
  <si>
    <t>SAT (супермат), черная сердцевина, 12 мм</t>
  </si>
  <si>
    <r>
      <t xml:space="preserve">SAT (супермат), </t>
    </r>
    <r>
      <rPr>
        <b/>
        <sz val="8"/>
        <color theme="1"/>
        <rFont val="Calibri"/>
        <family val="2"/>
        <charset val="204"/>
        <scheme val="minor"/>
      </rPr>
      <t>белая</t>
    </r>
    <r>
      <rPr>
        <sz val="8"/>
        <color theme="1"/>
        <rFont val="Calibri"/>
        <family val="2"/>
        <scheme val="minor"/>
      </rPr>
      <t xml:space="preserve"> сердцевина, 12 мм</t>
    </r>
  </si>
  <si>
    <t>0585/0581/0566/0565/0566/0378/0331/0269/0260/0179/0048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</si>
</sst>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49" fontId="13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3" fontId="0" fillId="0" borderId="0" xfId="0" applyNumberForma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43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43" fontId="0" fillId="0" borderId="21" xfId="0" applyNumberFormat="1" applyFill="1" applyBorder="1" applyAlignment="1" applyProtection="1">
      <alignment horizontal="center" vertical="center"/>
      <protection hidden="1"/>
    </xf>
    <xf numFmtId="43" fontId="0" fillId="0" borderId="23" xfId="0" applyNumberFormat="1" applyBorder="1" applyAlignment="1" applyProtection="1">
      <alignment horizontal="center" vertical="center"/>
      <protection hidden="1"/>
    </xf>
    <xf numFmtId="43" fontId="5" fillId="0" borderId="35" xfId="0" applyNumberFormat="1" applyFont="1" applyBorder="1" applyAlignment="1" applyProtection="1">
      <alignment horizontal="center" vertical="center"/>
      <protection hidden="1"/>
    </xf>
    <xf numFmtId="43" fontId="0" fillId="0" borderId="1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43" fontId="0" fillId="0" borderId="3" xfId="0" applyNumberFormat="1" applyBorder="1" applyAlignment="1" applyProtection="1">
      <alignment horizontal="center" vertical="center"/>
      <protection hidden="1"/>
    </xf>
    <xf numFmtId="43" fontId="5" fillId="0" borderId="30" xfId="0" applyNumberFormat="1" applyFont="1" applyBorder="1" applyAlignment="1" applyProtection="1">
      <alignment horizontal="center" vertical="center"/>
      <protection hidden="1"/>
    </xf>
    <xf numFmtId="43" fontId="5" fillId="0" borderId="27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43" fontId="0" fillId="0" borderId="11" xfId="0" applyNumberFormat="1" applyBorder="1" applyAlignment="1" applyProtection="1">
      <alignment horizontal="center" vertical="center"/>
      <protection hidden="1"/>
    </xf>
    <xf numFmtId="43" fontId="0" fillId="0" borderId="12" xfId="0" applyNumberFormat="1" applyBorder="1" applyAlignment="1" applyProtection="1">
      <alignment horizontal="center" vertical="center"/>
      <protection hidden="1"/>
    </xf>
    <xf numFmtId="43" fontId="5" fillId="0" borderId="31" xfId="0" applyNumberFormat="1" applyFont="1" applyBorder="1" applyAlignment="1" applyProtection="1">
      <alignment horizontal="center" vertical="center"/>
      <protection hidden="1"/>
    </xf>
    <xf numFmtId="43" fontId="5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 wrapText="1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3" fontId="1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22" xfId="0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15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15" fillId="3" borderId="20" xfId="0" applyFont="1" applyFill="1" applyBorder="1" applyAlignment="1" applyProtection="1">
      <alignment horizontal="center" vertical="center" wrapText="1"/>
      <protection hidden="1"/>
    </xf>
    <xf numFmtId="0" fontId="15" fillId="3" borderId="19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43" fontId="0" fillId="0" borderId="21" xfId="0" applyNumberForma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3" fontId="15" fillId="2" borderId="26" xfId="0" applyNumberFormat="1" applyFont="1" applyFill="1" applyBorder="1" applyAlignment="1" applyProtection="1">
      <alignment horizontal="center" vertical="center"/>
      <protection hidden="1"/>
    </xf>
    <xf numFmtId="43" fontId="15" fillId="0" borderId="25" xfId="0" applyNumberFormat="1" applyFont="1" applyBorder="1" applyAlignment="1" applyProtection="1">
      <alignment horizontal="center" vertical="center"/>
      <protection hidden="1"/>
    </xf>
    <xf numFmtId="43" fontId="0" fillId="0" borderId="35" xfId="0" applyNumberForma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3" fontId="15" fillId="0" borderId="7" xfId="0" applyNumberFormat="1" applyFont="1" applyBorder="1" applyAlignment="1" applyProtection="1">
      <alignment horizontal="center" vertical="center"/>
      <protection hidden="1"/>
    </xf>
    <xf numFmtId="43" fontId="0" fillId="0" borderId="30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43" fontId="0" fillId="0" borderId="36" xfId="0" applyNumberFormat="1" applyBorder="1" applyAlignment="1" applyProtection="1">
      <alignment horizontal="center" vertical="center"/>
      <protection hidden="1"/>
    </xf>
    <xf numFmtId="43" fontId="0" fillId="0" borderId="37" xfId="0" applyNumberForma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3" fontId="15" fillId="0" borderId="14" xfId="0" applyNumberFormat="1" applyFont="1" applyBorder="1" applyAlignment="1" applyProtection="1">
      <alignment horizontal="center" vertical="center"/>
      <protection hidden="1"/>
    </xf>
    <xf numFmtId="43" fontId="0" fillId="0" borderId="31" xfId="0" applyNumberFormat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43" fontId="0" fillId="0" borderId="0" xfId="0" applyNumberFormat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43" fontId="15" fillId="2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44" fontId="21" fillId="4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43" fontId="0" fillId="0" borderId="38" xfId="0" applyNumberFormat="1" applyBorder="1" applyAlignment="1" applyProtection="1">
      <alignment horizontal="center" vertical="center"/>
      <protection hidden="1"/>
    </xf>
    <xf numFmtId="43" fontId="0" fillId="0" borderId="54" xfId="0" applyNumberFormat="1" applyBorder="1" applyAlignment="1" applyProtection="1">
      <alignment horizontal="center" vertical="center"/>
      <protection hidden="1"/>
    </xf>
    <xf numFmtId="43" fontId="5" fillId="0" borderId="53" xfId="0" applyNumberFormat="1" applyFont="1" applyBorder="1" applyAlignment="1" applyProtection="1">
      <alignment horizontal="center" vertical="center"/>
      <protection hidden="1"/>
    </xf>
    <xf numFmtId="43" fontId="5" fillId="0" borderId="56" xfId="0" applyNumberFormat="1" applyFont="1" applyBorder="1" applyAlignment="1" applyProtection="1">
      <alignment horizontal="center" vertical="center"/>
      <protection hidden="1"/>
    </xf>
    <xf numFmtId="43" fontId="5" fillId="0" borderId="43" xfId="0" applyNumberFormat="1" applyFont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0" fontId="10" fillId="6" borderId="22" xfId="0" applyFont="1" applyFill="1" applyBorder="1" applyAlignment="1" applyProtection="1">
      <alignment horizontal="center" vertical="center" wrapText="1"/>
      <protection hidden="1"/>
    </xf>
    <xf numFmtId="0" fontId="10" fillId="6" borderId="19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center" vertical="center" wrapText="1"/>
      <protection hidden="1"/>
    </xf>
    <xf numFmtId="43" fontId="10" fillId="6" borderId="16" xfId="0" applyNumberFormat="1" applyFont="1" applyFill="1" applyBorder="1" applyAlignment="1" applyProtection="1">
      <alignment horizontal="center" vertical="center" wrapText="1"/>
      <protection hidden="1"/>
    </xf>
    <xf numFmtId="43" fontId="24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43" fontId="0" fillId="0" borderId="26" xfId="0" applyNumberFormat="1" applyBorder="1" applyAlignment="1" applyProtection="1">
      <alignment horizontal="center" vertical="center" wrapText="1"/>
      <protection hidden="1"/>
    </xf>
    <xf numFmtId="43" fontId="0" fillId="0" borderId="25" xfId="0" applyNumberForma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43" fontId="0" fillId="0" borderId="5" xfId="0" applyNumberForma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43" fontId="0" fillId="0" borderId="15" xfId="0" applyNumberForma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18" xfId="0" applyFont="1" applyFill="1" applyBorder="1" applyAlignment="1" applyProtection="1">
      <alignment horizontal="center" vertical="center" wrapText="1"/>
      <protection hidden="1"/>
    </xf>
    <xf numFmtId="0" fontId="10" fillId="6" borderId="20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3" fontId="0" fillId="0" borderId="58" xfId="0" applyNumberFormat="1" applyBorder="1" applyAlignment="1" applyProtection="1">
      <alignment horizontal="center" vertical="center"/>
      <protection hidden="1"/>
    </xf>
    <xf numFmtId="43" fontId="0" fillId="0" borderId="48" xfId="0" applyNumberFormat="1" applyBorder="1" applyAlignment="1" applyProtection="1">
      <alignment horizontal="center" vertical="center"/>
      <protection hidden="1"/>
    </xf>
    <xf numFmtId="43" fontId="2" fillId="0" borderId="35" xfId="0" applyNumberFormat="1" applyFont="1" applyBorder="1" applyAlignment="1" applyProtection="1">
      <alignment horizontal="center" vertical="center"/>
      <protection hidden="1"/>
    </xf>
    <xf numFmtId="43" fontId="2" fillId="0" borderId="43" xfId="0" applyNumberFormat="1" applyFont="1" applyBorder="1" applyAlignment="1" applyProtection="1">
      <alignment horizontal="center" vertical="center"/>
      <protection hidden="1"/>
    </xf>
    <xf numFmtId="43" fontId="0" fillId="0" borderId="7" xfId="0" applyNumberFormat="1" applyBorder="1" applyAlignment="1" applyProtection="1">
      <alignment horizontal="center" vertical="center"/>
      <protection hidden="1"/>
    </xf>
    <xf numFmtId="43" fontId="2" fillId="0" borderId="30" xfId="0" applyNumberFormat="1" applyFont="1" applyBorder="1" applyAlignment="1" applyProtection="1">
      <alignment horizontal="center" vertical="center"/>
      <protection hidden="1"/>
    </xf>
    <xf numFmtId="43" fontId="2" fillId="0" borderId="27" xfId="0" applyNumberFormat="1" applyFont="1" applyBorder="1" applyAlignment="1" applyProtection="1">
      <alignment horizontal="center" vertical="center"/>
      <protection hidden="1"/>
    </xf>
    <xf numFmtId="43" fontId="0" fillId="0" borderId="52" xfId="0" applyNumberFormat="1" applyBorder="1" applyAlignment="1" applyProtection="1">
      <alignment horizontal="center" vertical="center"/>
      <protection hidden="1"/>
    </xf>
    <xf numFmtId="43" fontId="2" fillId="0" borderId="53" xfId="0" applyNumberFormat="1" applyFont="1" applyBorder="1" applyAlignment="1" applyProtection="1">
      <alignment horizontal="center" vertical="center"/>
      <protection hidden="1"/>
    </xf>
    <xf numFmtId="43" fontId="2" fillId="0" borderId="56" xfId="0" applyNumberFormat="1" applyFont="1" applyBorder="1" applyAlignment="1" applyProtection="1">
      <alignment horizontal="center" vertical="center"/>
      <protection hidden="1"/>
    </xf>
    <xf numFmtId="43" fontId="0" fillId="0" borderId="14" xfId="0" applyNumberFormat="1" applyBorder="1" applyAlignment="1" applyProtection="1">
      <alignment horizontal="center" vertical="center"/>
      <protection hidden="1"/>
    </xf>
    <xf numFmtId="43" fontId="2" fillId="0" borderId="31" xfId="0" applyNumberFormat="1" applyFont="1" applyBorder="1" applyAlignment="1" applyProtection="1">
      <alignment horizontal="center" vertical="center"/>
      <protection hidden="1"/>
    </xf>
    <xf numFmtId="43" fontId="2" fillId="0" borderId="28" xfId="0" applyNumberFormat="1" applyFont="1" applyBorder="1" applyAlignment="1" applyProtection="1">
      <alignment horizontal="center" vertical="center"/>
      <protection hidden="1"/>
    </xf>
    <xf numFmtId="0" fontId="15" fillId="5" borderId="22" xfId="0" applyFont="1" applyFill="1" applyBorder="1" applyAlignment="1" applyProtection="1">
      <alignment horizontal="center" vertical="center" wrapText="1"/>
      <protection hidden="1"/>
    </xf>
    <xf numFmtId="0" fontId="0" fillId="4" borderId="48" xfId="0" applyFill="1" applyBorder="1" applyAlignment="1" applyProtection="1">
      <alignment horizontal="center" vertical="center" wrapText="1"/>
      <protection hidden="1"/>
    </xf>
    <xf numFmtId="0" fontId="0" fillId="4" borderId="49" xfId="0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4" borderId="52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vertical="center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17" fillId="0" borderId="35" xfId="0" applyFont="1" applyBorder="1" applyAlignment="1" applyProtection="1">
      <alignment horizontal="center" vertical="center" wrapText="1"/>
      <protection hidden="1"/>
    </xf>
    <xf numFmtId="0" fontId="0" fillId="4" borderId="35" xfId="0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43" fontId="0" fillId="0" borderId="8" xfId="0" applyNumberFormat="1" applyBorder="1" applyAlignment="1" applyProtection="1">
      <alignment horizontal="center" vertical="center" wrapText="1"/>
      <protection hidden="1"/>
    </xf>
    <xf numFmtId="43" fontId="0" fillId="0" borderId="48" xfId="0" applyNumberFormat="1" applyBorder="1" applyAlignment="1" applyProtection="1">
      <alignment horizontal="center" vertical="center" wrapText="1"/>
      <protection hidden="1"/>
    </xf>
    <xf numFmtId="0" fontId="0" fillId="4" borderId="30" xfId="0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43" fontId="0" fillId="0" borderId="6" xfId="0" applyNumberFormat="1" applyBorder="1" applyAlignment="1" applyProtection="1">
      <alignment horizontal="center" vertical="center" wrapText="1"/>
      <protection hidden="1"/>
    </xf>
    <xf numFmtId="43" fontId="0" fillId="0" borderId="7" xfId="0" applyNumberFormat="1" applyBorder="1" applyAlignment="1" applyProtection="1">
      <alignment horizontal="center" vertical="center" wrapText="1"/>
      <protection hidden="1"/>
    </xf>
    <xf numFmtId="0" fontId="0" fillId="4" borderId="53" xfId="0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43" fontId="0" fillId="0" borderId="55" xfId="0" applyNumberFormat="1" applyBorder="1" applyAlignment="1" applyProtection="1">
      <alignment horizontal="center" vertical="center" wrapText="1"/>
      <protection hidden="1"/>
    </xf>
    <xf numFmtId="43" fontId="0" fillId="0" borderId="52" xfId="0" applyNumberFormat="1" applyBorder="1" applyAlignment="1" applyProtection="1">
      <alignment horizontal="center" vertical="center" wrapText="1"/>
      <protection hidden="1"/>
    </xf>
    <xf numFmtId="0" fontId="17" fillId="0" borderId="53" xfId="0" applyFont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43" fontId="0" fillId="0" borderId="13" xfId="0" applyNumberFormat="1" applyBorder="1" applyAlignment="1" applyProtection="1">
      <alignment horizontal="center" vertical="center" wrapText="1"/>
      <protection hidden="1"/>
    </xf>
    <xf numFmtId="43" fontId="0" fillId="0" borderId="14" xfId="0" applyNumberForma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wrapText="1"/>
      <protection hidden="1"/>
    </xf>
    <xf numFmtId="164" fontId="27" fillId="0" borderId="0" xfId="0" applyNumberFormat="1" applyFont="1" applyAlignment="1" applyProtection="1">
      <alignment horizontal="center" vertical="center" wrapText="1"/>
      <protection hidden="1"/>
    </xf>
    <xf numFmtId="0" fontId="13" fillId="6" borderId="22" xfId="0" applyFont="1" applyFill="1" applyBorder="1" applyAlignment="1" applyProtection="1">
      <alignment horizontal="center" vertical="center" wrapText="1"/>
      <protection hidden="1"/>
    </xf>
    <xf numFmtId="0" fontId="10" fillId="6" borderId="18" xfId="0" applyFont="1" applyFill="1" applyBorder="1" applyAlignment="1" applyProtection="1">
      <alignment horizontal="center" vertical="center" wrapText="1"/>
      <protection hidden="1"/>
    </xf>
    <xf numFmtId="0" fontId="10" fillId="6" borderId="34" xfId="0" applyFont="1" applyFill="1" applyBorder="1" applyAlignment="1" applyProtection="1">
      <alignment horizontal="center" vertical="center" wrapText="1"/>
      <protection hidden="1"/>
    </xf>
    <xf numFmtId="0" fontId="10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33" xfId="0" applyFont="1" applyFill="1" applyBorder="1" applyAlignment="1" applyProtection="1">
      <alignment horizontal="center" vertical="center" wrapText="1"/>
      <protection hidden="1"/>
    </xf>
    <xf numFmtId="0" fontId="28" fillId="6" borderId="34" xfId="0" applyFont="1" applyFill="1" applyBorder="1" applyAlignment="1" applyProtection="1">
      <alignment horizontal="center" vertical="center" wrapText="1"/>
      <protection hidden="1"/>
    </xf>
    <xf numFmtId="0" fontId="10" fillId="6" borderId="3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43" fontId="28" fillId="6" borderId="34" xfId="0" applyNumberFormat="1" applyFont="1" applyFill="1" applyBorder="1" applyAlignment="1" applyProtection="1">
      <alignment horizontal="center" vertical="center" wrapText="1"/>
      <protection hidden="1"/>
    </xf>
    <xf numFmtId="43" fontId="28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33" fillId="5" borderId="33" xfId="0" applyFont="1" applyFill="1" applyBorder="1" applyAlignment="1" applyProtection="1">
      <alignment horizontal="center" vertical="center" wrapText="1"/>
      <protection hidden="1"/>
    </xf>
    <xf numFmtId="0" fontId="33" fillId="5" borderId="34" xfId="0" applyFont="1" applyFill="1" applyBorder="1" applyAlignment="1" applyProtection="1">
      <alignment horizontal="center" vertical="center" wrapText="1"/>
      <protection hidden="1"/>
    </xf>
    <xf numFmtId="0" fontId="33" fillId="5" borderId="32" xfId="0" applyFont="1" applyFill="1" applyBorder="1" applyAlignment="1" applyProtection="1">
      <alignment horizontal="center" vertical="center" wrapText="1"/>
      <protection hidden="1"/>
    </xf>
    <xf numFmtId="0" fontId="10" fillId="6" borderId="32" xfId="0" applyFont="1" applyFill="1" applyBorder="1" applyAlignment="1" applyProtection="1">
      <alignment horizontal="center" vertical="center" wrapText="1"/>
      <protection hidden="1"/>
    </xf>
    <xf numFmtId="0" fontId="16" fillId="6" borderId="33" xfId="0" applyFont="1" applyFill="1" applyBorder="1" applyAlignment="1" applyProtection="1">
      <alignment horizontal="center" vertical="center" wrapText="1"/>
      <protection hidden="1"/>
    </xf>
    <xf numFmtId="0" fontId="16" fillId="6" borderId="34" xfId="0" applyFont="1" applyFill="1" applyBorder="1" applyAlignment="1" applyProtection="1">
      <alignment horizontal="center" vertical="center" wrapText="1"/>
      <protection hidden="1"/>
    </xf>
    <xf numFmtId="0" fontId="16" fillId="6" borderId="32" xfId="0" applyFont="1" applyFill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34" xfId="0" applyFont="1" applyBorder="1" applyAlignment="1" applyProtection="1">
      <alignment horizontal="center" vertical="center" wrapText="1"/>
      <protection hidden="1"/>
    </xf>
    <xf numFmtId="0" fontId="23" fillId="0" borderId="32" xfId="0" applyFont="1" applyBorder="1" applyAlignment="1" applyProtection="1">
      <alignment horizontal="center" vertical="center" wrapText="1"/>
      <protection hidden="1"/>
    </xf>
    <xf numFmtId="0" fontId="10" fillId="4" borderId="33" xfId="0" applyFont="1" applyFill="1" applyBorder="1" applyAlignment="1" applyProtection="1">
      <alignment horizontal="center" vertical="center" wrapText="1"/>
      <protection hidden="1"/>
    </xf>
    <xf numFmtId="0" fontId="10" fillId="4" borderId="34" xfId="0" applyFont="1" applyFill="1" applyBorder="1" applyAlignment="1" applyProtection="1">
      <alignment horizontal="center" vertical="center" wrapText="1"/>
      <protection hidden="1"/>
    </xf>
    <xf numFmtId="0" fontId="10" fillId="4" borderId="32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3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CC"/>
      <color rgb="FFCCECFF"/>
      <color rgb="FFFFFF99"/>
      <color rgb="FFCCFFCC"/>
      <color rgb="FFFFDD71"/>
      <color rgb="FFFFD757"/>
      <color rgb="FFFFCC66"/>
      <color rgb="FFCC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2</xdr:col>
      <xdr:colOff>482974</xdr:colOff>
      <xdr:row>2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563A049F-220A-44C9-AA8B-F2BADBD171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1"/>
          <a:ext cx="184784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168088</xdr:colOff>
      <xdr:row>37</xdr:row>
      <xdr:rowOff>33618</xdr:rowOff>
    </xdr:from>
    <xdr:to>
      <xdr:col>3</xdr:col>
      <xdr:colOff>1232320</xdr:colOff>
      <xdr:row>40</xdr:row>
      <xdr:rowOff>117242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F0DF4328-423D-4F12-A819-2B0F0654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029" y="7900147"/>
          <a:ext cx="2117585" cy="65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66815</xdr:colOff>
      <xdr:row>37</xdr:row>
      <xdr:rowOff>116961</xdr:rowOff>
    </xdr:from>
    <xdr:to>
      <xdr:col>6</xdr:col>
      <xdr:colOff>699106</xdr:colOff>
      <xdr:row>40</xdr:row>
      <xdr:rowOff>145341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53E13DF6-9BDE-4067-B856-932FFEEA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5962" y="7983490"/>
          <a:ext cx="2111468" cy="59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155902</xdr:colOff>
      <xdr:row>37</xdr:row>
      <xdr:rowOff>116962</xdr:rowOff>
    </xdr:from>
    <xdr:to>
      <xdr:col>9</xdr:col>
      <xdr:colOff>43562</xdr:colOff>
      <xdr:row>40</xdr:row>
      <xdr:rowOff>139777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110C0E07-016E-496B-8129-84434E4B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667" y="7983491"/>
          <a:ext cx="1994366" cy="5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140</xdr:colOff>
      <xdr:row>37</xdr:row>
      <xdr:rowOff>45523</xdr:rowOff>
    </xdr:from>
    <xdr:to>
      <xdr:col>11</xdr:col>
      <xdr:colOff>1404516</xdr:colOff>
      <xdr:row>41</xdr:row>
      <xdr:rowOff>148197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B4D78F2E-101D-455E-82B5-0AEB11EC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5611" y="7912052"/>
          <a:ext cx="2009493" cy="86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1473714</xdr:colOff>
      <xdr:row>37</xdr:row>
      <xdr:rowOff>58832</xdr:rowOff>
    </xdr:from>
    <xdr:to>
      <xdr:col>13</xdr:col>
      <xdr:colOff>763602</xdr:colOff>
      <xdr:row>41</xdr:row>
      <xdr:rowOff>105057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8F5F6007-A354-43F0-8989-89BD9EE8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4302" y="7925361"/>
          <a:ext cx="2057741" cy="80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356436</xdr:colOff>
      <xdr:row>2</xdr:row>
      <xdr:rowOff>134471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ECE83DE4-2C85-4E70-9189-712673A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8377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100853</xdr:colOff>
      <xdr:row>36</xdr:row>
      <xdr:rowOff>78441</xdr:rowOff>
    </xdr:from>
    <xdr:to>
      <xdr:col>3</xdr:col>
      <xdr:colOff>1165085</xdr:colOff>
      <xdr:row>39</xdr:row>
      <xdr:rowOff>162065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797D618-7E53-40FD-B526-927CBEF6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794" y="7754470"/>
          <a:ext cx="2117585" cy="65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1243433</xdr:colOff>
      <xdr:row>36</xdr:row>
      <xdr:rowOff>161784</xdr:rowOff>
    </xdr:from>
    <xdr:to>
      <xdr:col>6</xdr:col>
      <xdr:colOff>631871</xdr:colOff>
      <xdr:row>39</xdr:row>
      <xdr:rowOff>190164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31626D75-7548-4CB2-8C1A-23D6089E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727" y="7837813"/>
          <a:ext cx="2111468" cy="59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88667</xdr:colOff>
      <xdr:row>36</xdr:row>
      <xdr:rowOff>161785</xdr:rowOff>
    </xdr:from>
    <xdr:to>
      <xdr:col>8</xdr:col>
      <xdr:colOff>1029680</xdr:colOff>
      <xdr:row>39</xdr:row>
      <xdr:rowOff>184600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5821FEDC-9E79-48E6-98C3-7A7D2A07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432" y="7837814"/>
          <a:ext cx="1994366" cy="5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986258</xdr:colOff>
      <xdr:row>36</xdr:row>
      <xdr:rowOff>90346</xdr:rowOff>
    </xdr:from>
    <xdr:to>
      <xdr:col>11</xdr:col>
      <xdr:colOff>1337281</xdr:colOff>
      <xdr:row>41</xdr:row>
      <xdr:rowOff>2520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D8664AD2-1C7F-46CA-A15F-F6F69493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376" y="7766375"/>
          <a:ext cx="2009493" cy="86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1406479</xdr:colOff>
      <xdr:row>36</xdr:row>
      <xdr:rowOff>103655</xdr:rowOff>
    </xdr:from>
    <xdr:to>
      <xdr:col>13</xdr:col>
      <xdr:colOff>696367</xdr:colOff>
      <xdr:row>40</xdr:row>
      <xdr:rowOff>149880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61C0741D-17D3-43D2-9BCD-ABFF95B0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067" y="7779684"/>
          <a:ext cx="2057741" cy="80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zoomScale="85" zoomScaleNormal="85" workbookViewId="0">
      <selection activeCell="I3" sqref="I3"/>
    </sheetView>
  </sheetViews>
  <sheetFormatPr defaultRowHeight="15" x14ac:dyDescent="0.25"/>
  <cols>
    <col min="1" max="1" width="9.140625" style="1"/>
    <col min="2" max="2" width="12.140625" style="1" customWidth="1"/>
    <col min="3" max="3" width="15.7109375" style="1" customWidth="1"/>
    <col min="4" max="4" width="18.7109375" style="1" customWidth="1"/>
    <col min="5" max="5" width="10.7109375" style="1" customWidth="1"/>
    <col min="6" max="6" width="11.42578125" style="1" customWidth="1"/>
    <col min="7" max="7" width="12.5703125" style="1" customWidth="1"/>
    <col min="8" max="9" width="15.7109375" style="1" customWidth="1"/>
    <col min="10" max="11" width="4.5703125" style="1" customWidth="1"/>
    <col min="12" max="12" width="22.140625" style="1" customWidth="1"/>
    <col min="13" max="13" width="19.28515625" style="1" customWidth="1"/>
    <col min="14" max="14" width="13.5703125" style="1" customWidth="1"/>
    <col min="15" max="15" width="9.7109375" style="1" customWidth="1"/>
    <col min="16" max="16" width="8.7109375" style="1" customWidth="1"/>
    <col min="17" max="17" width="15.5703125" style="1" customWidth="1"/>
    <col min="18" max="18" width="17.5703125" style="1" customWidth="1"/>
    <col min="19" max="25" width="9.140625" style="1"/>
    <col min="26" max="16384" width="9.140625" style="9"/>
  </cols>
  <sheetData>
    <row r="1" spans="2:18" s="1" customFormat="1" ht="20.100000000000001" customHeight="1" x14ac:dyDescent="0.25"/>
    <row r="2" spans="2:18" s="1" customFormat="1" ht="20.100000000000001" customHeight="1" thickBot="1" x14ac:dyDescent="0.3"/>
    <row r="3" spans="2:18" s="1" customFormat="1" ht="20.100000000000001" customHeight="1" thickBot="1" x14ac:dyDescent="0.3">
      <c r="H3" s="181" t="s">
        <v>37</v>
      </c>
      <c r="I3" s="94">
        <v>80</v>
      </c>
    </row>
    <row r="4" spans="2:18" s="1" customFormat="1" ht="9.75" customHeight="1" thickBot="1" x14ac:dyDescent="0.3"/>
    <row r="5" spans="2:18" s="1" customFormat="1" ht="20.100000000000001" customHeight="1" thickBot="1" x14ac:dyDescent="0.3">
      <c r="B5" s="200" t="s">
        <v>48</v>
      </c>
      <c r="C5" s="201"/>
      <c r="D5" s="201"/>
      <c r="E5" s="201"/>
      <c r="F5" s="201"/>
      <c r="G5" s="201"/>
      <c r="H5" s="201"/>
      <c r="I5" s="202"/>
    </row>
    <row r="6" spans="2:18" s="1" customFormat="1" ht="7.5" customHeight="1" thickBot="1" x14ac:dyDescent="0.3"/>
    <row r="7" spans="2:18" s="1" customFormat="1" ht="33.75" customHeight="1" thickBot="1" x14ac:dyDescent="0.3">
      <c r="B7" s="156" t="s">
        <v>41</v>
      </c>
      <c r="C7" s="203" t="s">
        <v>74</v>
      </c>
      <c r="D7" s="204"/>
      <c r="E7" s="204"/>
      <c r="F7" s="204"/>
      <c r="G7" s="204"/>
      <c r="H7" s="204"/>
      <c r="I7" s="205"/>
    </row>
    <row r="8" spans="2:18" s="1" customFormat="1" ht="20.100000000000001" customHeight="1" thickBot="1" x14ac:dyDescent="0.3">
      <c r="B8" s="156" t="s">
        <v>42</v>
      </c>
      <c r="C8" s="206" t="s">
        <v>68</v>
      </c>
      <c r="D8" s="207"/>
      <c r="E8" s="207"/>
      <c r="F8" s="207"/>
      <c r="G8" s="207"/>
      <c r="H8" s="207"/>
      <c r="I8" s="208"/>
    </row>
    <row r="9" spans="2:18" s="1" customFormat="1" ht="20.100000000000001" customHeight="1" thickBot="1" x14ac:dyDescent="0.3">
      <c r="B9" s="156" t="s">
        <v>43</v>
      </c>
      <c r="C9" s="209" t="str">
        <f>IF(C8=ДАТ!B25,ДАТ!B26,IF(C8=ДАТ!C25,ДАТ!C26,IF(C8=ДАТ!D25,ДАТ!D26,IF(C8=ДАТ!E25,ДАТ!E26,IF(C8=ДАТ!F25,ДАТ!F26,IF(C8=ДАТ!G25,ДАТ!G26,ДАТ!G24))))))</f>
        <v>0085/0080/0077/0074/0851</v>
      </c>
      <c r="D9" s="210"/>
      <c r="E9" s="210"/>
      <c r="F9" s="210"/>
      <c r="G9" s="210"/>
      <c r="H9" s="210"/>
      <c r="I9" s="211"/>
    </row>
    <row r="10" spans="2:18" s="1" customFormat="1" ht="9.75" customHeight="1" thickBot="1" x14ac:dyDescent="0.3"/>
    <row r="11" spans="2:18" s="1" customFormat="1" ht="35.1" customHeight="1" thickBot="1" x14ac:dyDescent="0.3">
      <c r="B11" s="108" t="s">
        <v>3</v>
      </c>
      <c r="C11" s="109" t="s">
        <v>40</v>
      </c>
      <c r="D11" s="110" t="s">
        <v>39</v>
      </c>
      <c r="E11" s="108" t="s">
        <v>6</v>
      </c>
      <c r="F11" s="129" t="s">
        <v>8</v>
      </c>
      <c r="G11" s="128" t="s">
        <v>7</v>
      </c>
      <c r="H11" s="110" t="s">
        <v>85</v>
      </c>
      <c r="I11" s="109" t="s">
        <v>84</v>
      </c>
      <c r="K11" s="108" t="s">
        <v>3</v>
      </c>
      <c r="L11" s="187" t="s">
        <v>44</v>
      </c>
      <c r="M11" s="183"/>
      <c r="N11" s="199"/>
      <c r="O11" s="110" t="s">
        <v>52</v>
      </c>
      <c r="P11" s="109" t="s">
        <v>83</v>
      </c>
      <c r="Q11" s="129" t="s">
        <v>87</v>
      </c>
      <c r="R11" s="109" t="s">
        <v>88</v>
      </c>
    </row>
    <row r="12" spans="2:18" s="1" customFormat="1" ht="15.95" customHeight="1" x14ac:dyDescent="0.25">
      <c r="B12" s="157">
        <v>1</v>
      </c>
      <c r="C12" s="149"/>
      <c r="D12" s="150"/>
      <c r="E12" s="158"/>
      <c r="F12" s="159">
        <f t="shared" ref="F12:F21" si="0">IF(D12&lt;=0,0,IF(C12&lt;=0,0,IF(E12&lt;=0,0,(D12*C12)*E12/1000000)))</f>
        <v>0</v>
      </c>
      <c r="G12" s="160">
        <f t="shared" ref="G12:G21" si="1">IF(D12&lt;=0,0,IF(C12&lt;=0,0,IF(E12&lt;=0,0,(D12+C12)*2*E12/1000)))</f>
        <v>0</v>
      </c>
      <c r="H12" s="161">
        <f>(ROUNDUP((IF(E12&lt;=0,0,IF(ДАТ!I12=0,0,IF(ДАТ!J12=0,0,(E12*ДАТ!K12+G12*ДАТ!N25)))))*ДАТ!O25,0))</f>
        <v>0</v>
      </c>
      <c r="I12" s="162">
        <f>ROUNDUP(H12*I3,0)</f>
        <v>0</v>
      </c>
      <c r="K12" s="5">
        <v>1</v>
      </c>
      <c r="L12" s="212" t="s">
        <v>86</v>
      </c>
      <c r="M12" s="213"/>
      <c r="N12" s="214"/>
      <c r="O12" s="113" t="s">
        <v>53</v>
      </c>
      <c r="P12" s="114">
        <v>0</v>
      </c>
      <c r="Q12" s="115">
        <v>280</v>
      </c>
      <c r="R12" s="116">
        <f>IF(P12&lt;=0,0,P12*Q12)</f>
        <v>0</v>
      </c>
    </row>
    <row r="13" spans="2:18" s="1" customFormat="1" ht="15.95" customHeight="1" x14ac:dyDescent="0.25">
      <c r="B13" s="6">
        <v>2</v>
      </c>
      <c r="C13" s="119"/>
      <c r="D13" s="151"/>
      <c r="E13" s="163"/>
      <c r="F13" s="164">
        <f t="shared" si="0"/>
        <v>0</v>
      </c>
      <c r="G13" s="165">
        <f t="shared" si="1"/>
        <v>0</v>
      </c>
      <c r="H13" s="166">
        <f>(ROUNDUP((IF(E13&lt;=0,0,IF(ДАТ!I13=0,0,IF(ДАТ!J13=0,0,(E13*ДАТ!K13+G13*ДАТ!N25)))))*ДАТ!O25,0))</f>
        <v>0</v>
      </c>
      <c r="I13" s="167">
        <f>ROUNDUP(H13*I3,0)</f>
        <v>0</v>
      </c>
      <c r="K13" s="5">
        <v>2</v>
      </c>
      <c r="L13" s="188" t="s">
        <v>91</v>
      </c>
      <c r="M13" s="189"/>
      <c r="N13" s="190"/>
      <c r="O13" s="117" t="s">
        <v>54</v>
      </c>
      <c r="P13" s="114">
        <v>0</v>
      </c>
      <c r="Q13" s="115">
        <v>2160</v>
      </c>
      <c r="R13" s="116">
        <f t="shared" ref="R13:R23" si="2">IF(P13&lt;=0,0,P13*Q13)</f>
        <v>0</v>
      </c>
    </row>
    <row r="14" spans="2:18" s="1" customFormat="1" ht="15.95" customHeight="1" x14ac:dyDescent="0.25">
      <c r="B14" s="6">
        <v>3</v>
      </c>
      <c r="C14" s="119"/>
      <c r="D14" s="151"/>
      <c r="E14" s="163"/>
      <c r="F14" s="164">
        <f t="shared" si="0"/>
        <v>0</v>
      </c>
      <c r="G14" s="165">
        <f t="shared" si="1"/>
        <v>0</v>
      </c>
      <c r="H14" s="166">
        <f>(ROUNDUP((IF(E14&lt;=0,0,IF(ДАТ!I14=0,0,IF(ДАТ!J14=0,0,(E14*ДАТ!K14+G14*ДАТ!N25)))))*ДАТ!O25,0))</f>
        <v>0</v>
      </c>
      <c r="I14" s="167">
        <f>ROUNDUP(H14*I3,0)</f>
        <v>0</v>
      </c>
      <c r="K14" s="5">
        <v>3</v>
      </c>
      <c r="L14" s="188" t="s">
        <v>92</v>
      </c>
      <c r="M14" s="189"/>
      <c r="N14" s="190"/>
      <c r="O14" s="117" t="s">
        <v>54</v>
      </c>
      <c r="P14" s="114">
        <v>0</v>
      </c>
      <c r="Q14" s="115">
        <v>4030</v>
      </c>
      <c r="R14" s="116">
        <f t="shared" si="2"/>
        <v>0</v>
      </c>
    </row>
    <row r="15" spans="2:18" s="1" customFormat="1" ht="15.95" customHeight="1" x14ac:dyDescent="0.25">
      <c r="B15" s="6">
        <v>4</v>
      </c>
      <c r="C15" s="119"/>
      <c r="D15" s="151"/>
      <c r="E15" s="163"/>
      <c r="F15" s="164">
        <f t="shared" si="0"/>
        <v>0</v>
      </c>
      <c r="G15" s="165">
        <f t="shared" si="1"/>
        <v>0</v>
      </c>
      <c r="H15" s="166">
        <f>(ROUNDUP((IF(E15&lt;=0,0,IF(ДАТ!I15=0,0,IF(ДАТ!J15=0,0,(E15*ДАТ!K15+G15*ДАТ!N25)))))*ДАТ!O25,0))</f>
        <v>0</v>
      </c>
      <c r="I15" s="167">
        <f>ROUNDUP(H15*I3,0)</f>
        <v>0</v>
      </c>
      <c r="K15" s="5">
        <v>4</v>
      </c>
      <c r="L15" s="188" t="s">
        <v>82</v>
      </c>
      <c r="M15" s="189"/>
      <c r="N15" s="190"/>
      <c r="O15" s="117" t="s">
        <v>54</v>
      </c>
      <c r="P15" s="114">
        <v>0</v>
      </c>
      <c r="Q15" s="115">
        <v>4200</v>
      </c>
      <c r="R15" s="116">
        <f t="shared" si="2"/>
        <v>0</v>
      </c>
    </row>
    <row r="16" spans="2:18" s="1" customFormat="1" ht="15.95" customHeight="1" x14ac:dyDescent="0.25">
      <c r="B16" s="6">
        <v>5</v>
      </c>
      <c r="C16" s="119"/>
      <c r="D16" s="151"/>
      <c r="E16" s="163"/>
      <c r="F16" s="164">
        <f t="shared" si="0"/>
        <v>0</v>
      </c>
      <c r="G16" s="165">
        <f t="shared" si="1"/>
        <v>0</v>
      </c>
      <c r="H16" s="166">
        <f>(ROUNDUP((IF(E16&lt;=0,0,IF(ДАТ!I16=0,0,IF(ДАТ!J16=0,0,(E16*ДАТ!K16+G16*ДАТ!N25)))))*ДАТ!O25,0))</f>
        <v>0</v>
      </c>
      <c r="I16" s="167">
        <f>ROUNDUP(H16*I3,0)</f>
        <v>0</v>
      </c>
      <c r="K16" s="6">
        <v>5</v>
      </c>
      <c r="L16" s="188" t="s">
        <v>93</v>
      </c>
      <c r="M16" s="189"/>
      <c r="N16" s="190"/>
      <c r="O16" s="118" t="s">
        <v>54</v>
      </c>
      <c r="P16" s="119">
        <v>0</v>
      </c>
      <c r="Q16" s="120">
        <v>240</v>
      </c>
      <c r="R16" s="116">
        <f t="shared" si="2"/>
        <v>0</v>
      </c>
    </row>
    <row r="17" spans="2:18" s="1" customFormat="1" ht="15.95" customHeight="1" x14ac:dyDescent="0.25">
      <c r="B17" s="6">
        <v>6</v>
      </c>
      <c r="C17" s="119"/>
      <c r="D17" s="151"/>
      <c r="E17" s="168"/>
      <c r="F17" s="169">
        <f t="shared" si="0"/>
        <v>0</v>
      </c>
      <c r="G17" s="170">
        <f t="shared" si="1"/>
        <v>0</v>
      </c>
      <c r="H17" s="171">
        <f>(ROUNDUP((IF(E17&lt;=0,0,IF(ДАТ!I17=0,0,IF(ДАТ!J17=0,0,(E17*ДАТ!K17+G17*ДАТ!N25)))))*ДАТ!O25,0))</f>
        <v>0</v>
      </c>
      <c r="I17" s="172">
        <f>ROUNDUP(H17*I3,0)</f>
        <v>0</v>
      </c>
      <c r="K17" s="6">
        <v>6</v>
      </c>
      <c r="L17" s="188" t="s">
        <v>78</v>
      </c>
      <c r="M17" s="189"/>
      <c r="N17" s="190"/>
      <c r="O17" s="118" t="s">
        <v>53</v>
      </c>
      <c r="P17" s="119">
        <v>0</v>
      </c>
      <c r="Q17" s="120">
        <v>1600</v>
      </c>
      <c r="R17" s="116">
        <f t="shared" si="2"/>
        <v>0</v>
      </c>
    </row>
    <row r="18" spans="2:18" s="1" customFormat="1" ht="15.95" customHeight="1" x14ac:dyDescent="0.25">
      <c r="B18" s="6">
        <v>7</v>
      </c>
      <c r="C18" s="119"/>
      <c r="D18" s="151"/>
      <c r="E18" s="168"/>
      <c r="F18" s="169">
        <f t="shared" si="0"/>
        <v>0</v>
      </c>
      <c r="G18" s="170">
        <f t="shared" si="1"/>
        <v>0</v>
      </c>
      <c r="H18" s="171">
        <f>(ROUNDUP((IF(E18&lt;=0,0,IF(ДАТ!I18=0,0,IF(ДАТ!J18=0,0,(E18*ДАТ!K18+G18*ДАТ!N25)))))*ДАТ!O25,0))</f>
        <v>0</v>
      </c>
      <c r="I18" s="172">
        <f>ROUNDUP(H18*I3,0)</f>
        <v>0</v>
      </c>
      <c r="K18" s="6">
        <v>7</v>
      </c>
      <c r="L18" s="188" t="s">
        <v>94</v>
      </c>
      <c r="M18" s="189"/>
      <c r="N18" s="190"/>
      <c r="O18" s="118" t="s">
        <v>53</v>
      </c>
      <c r="P18" s="119">
        <v>0</v>
      </c>
      <c r="Q18" s="120">
        <v>580</v>
      </c>
      <c r="R18" s="116">
        <f t="shared" si="2"/>
        <v>0</v>
      </c>
    </row>
    <row r="19" spans="2:18" s="1" customFormat="1" ht="15.95" customHeight="1" x14ac:dyDescent="0.25">
      <c r="B19" s="6">
        <v>8</v>
      </c>
      <c r="C19" s="119"/>
      <c r="D19" s="151"/>
      <c r="E19" s="168"/>
      <c r="F19" s="169">
        <f t="shared" si="0"/>
        <v>0</v>
      </c>
      <c r="G19" s="170">
        <f t="shared" si="1"/>
        <v>0</v>
      </c>
      <c r="H19" s="171">
        <f>(ROUNDUP((IF(E19&lt;=0,0,IF(ДАТ!I19=0,0,IF(ДАТ!J19=0,0,(E19*ДАТ!K19+G19*ДАТ!N25)))))*ДАТ!O25,0))</f>
        <v>0</v>
      </c>
      <c r="I19" s="172">
        <f>ROUNDUP(H19*I3,0)</f>
        <v>0</v>
      </c>
      <c r="K19" s="6">
        <v>8</v>
      </c>
      <c r="L19" s="188" t="s">
        <v>72</v>
      </c>
      <c r="M19" s="189"/>
      <c r="N19" s="190"/>
      <c r="O19" s="118" t="s">
        <v>54</v>
      </c>
      <c r="P19" s="119">
        <v>0</v>
      </c>
      <c r="Q19" s="120">
        <v>240</v>
      </c>
      <c r="R19" s="116">
        <f t="shared" si="2"/>
        <v>0</v>
      </c>
    </row>
    <row r="20" spans="2:18" s="1" customFormat="1" ht="15.95" customHeight="1" x14ac:dyDescent="0.25">
      <c r="B20" s="173">
        <v>9</v>
      </c>
      <c r="C20" s="152"/>
      <c r="D20" s="153"/>
      <c r="E20" s="168"/>
      <c r="F20" s="169">
        <f t="shared" si="0"/>
        <v>0</v>
      </c>
      <c r="G20" s="170">
        <f t="shared" si="1"/>
        <v>0</v>
      </c>
      <c r="H20" s="171">
        <f>(ROUNDUP((IF(E20&lt;=0,0,IF(ДАТ!I20=0,0,IF(ДАТ!J20=0,0,(E20*ДАТ!K20+G20*ДАТ!N25)))))*ДАТ!O25,0))</f>
        <v>0</v>
      </c>
      <c r="I20" s="172">
        <f>ROUNDUP(H20*I3,0)</f>
        <v>0</v>
      </c>
      <c r="K20" s="6">
        <v>9</v>
      </c>
      <c r="L20" s="188" t="s">
        <v>77</v>
      </c>
      <c r="M20" s="189"/>
      <c r="N20" s="190"/>
      <c r="O20" s="118" t="s">
        <v>54</v>
      </c>
      <c r="P20" s="119">
        <v>0</v>
      </c>
      <c r="Q20" s="120">
        <v>4200</v>
      </c>
      <c r="R20" s="116">
        <f t="shared" si="2"/>
        <v>0</v>
      </c>
    </row>
    <row r="21" spans="2:18" s="1" customFormat="1" ht="15.95" customHeight="1" thickBot="1" x14ac:dyDescent="0.3">
      <c r="B21" s="7">
        <v>10</v>
      </c>
      <c r="C21" s="122"/>
      <c r="D21" s="154"/>
      <c r="E21" s="174"/>
      <c r="F21" s="175">
        <f t="shared" si="0"/>
        <v>0</v>
      </c>
      <c r="G21" s="176">
        <f t="shared" si="1"/>
        <v>0</v>
      </c>
      <c r="H21" s="177">
        <f>(ROUNDUP((IF(E21&lt;=0,0,IF(ДАТ!I21=0,0,IF(ДАТ!J21=0,0,(E21*ДАТ!K21+G21*ДАТ!N25)))))*ДАТ!O25,0))</f>
        <v>0</v>
      </c>
      <c r="I21" s="178">
        <f>ROUNDUP(H21*I3,0)</f>
        <v>0</v>
      </c>
      <c r="K21" s="6">
        <v>10</v>
      </c>
      <c r="L21" s="188" t="s">
        <v>79</v>
      </c>
      <c r="M21" s="189"/>
      <c r="N21" s="190"/>
      <c r="O21" s="118" t="s">
        <v>54</v>
      </c>
      <c r="P21" s="119">
        <v>0</v>
      </c>
      <c r="Q21" s="120">
        <v>1200</v>
      </c>
      <c r="R21" s="116">
        <f t="shared" si="2"/>
        <v>0</v>
      </c>
    </row>
    <row r="22" spans="2:18" s="1" customFormat="1" ht="15.95" customHeight="1" thickBot="1" x14ac:dyDescent="0.3">
      <c r="B22" s="187" t="s">
        <v>45</v>
      </c>
      <c r="C22" s="183"/>
      <c r="D22" s="199"/>
      <c r="E22" s="108">
        <f>SUM(E12:E21)</f>
        <v>0</v>
      </c>
      <c r="F22" s="129">
        <f>SUM(F12:F21)</f>
        <v>0</v>
      </c>
      <c r="G22" s="128">
        <f>SUM(G12:G21)</f>
        <v>0</v>
      </c>
      <c r="H22" s="111">
        <f>SUM(H12:H21)</f>
        <v>0</v>
      </c>
      <c r="I22" s="112">
        <f>SUM(I12:I21)</f>
        <v>0</v>
      </c>
      <c r="K22" s="6">
        <v>11</v>
      </c>
      <c r="L22" s="188" t="s">
        <v>81</v>
      </c>
      <c r="M22" s="189"/>
      <c r="N22" s="190"/>
      <c r="O22" s="118" t="s">
        <v>54</v>
      </c>
      <c r="P22" s="119">
        <v>0</v>
      </c>
      <c r="Q22" s="120">
        <v>2200</v>
      </c>
      <c r="R22" s="116">
        <f t="shared" si="2"/>
        <v>0</v>
      </c>
    </row>
    <row r="23" spans="2:18" s="1" customFormat="1" ht="15.95" customHeight="1" thickBot="1" x14ac:dyDescent="0.3">
      <c r="K23" s="7">
        <v>12</v>
      </c>
      <c r="L23" s="191" t="s">
        <v>80</v>
      </c>
      <c r="M23" s="192"/>
      <c r="N23" s="193"/>
      <c r="O23" s="121" t="s">
        <v>54</v>
      </c>
      <c r="P23" s="122">
        <v>0</v>
      </c>
      <c r="Q23" s="123">
        <v>4200</v>
      </c>
      <c r="R23" s="116">
        <f t="shared" si="2"/>
        <v>0</v>
      </c>
    </row>
    <row r="24" spans="2:18" s="1" customFormat="1" ht="15.95" customHeight="1" thickBot="1" x14ac:dyDescent="0.3">
      <c r="C24" s="2"/>
      <c r="D24" s="3" t="s">
        <v>50</v>
      </c>
      <c r="H24" s="179"/>
      <c r="I24" s="180"/>
      <c r="K24" s="187" t="s">
        <v>46</v>
      </c>
      <c r="L24" s="183"/>
      <c r="M24" s="184"/>
      <c r="N24" s="182"/>
      <c r="O24" s="183"/>
      <c r="P24" s="183"/>
      <c r="Q24" s="184"/>
      <c r="R24" s="112">
        <f>SUM(R12:R23)</f>
        <v>0</v>
      </c>
    </row>
    <row r="25" spans="2:18" s="1" customFormat="1" ht="15.95" customHeight="1" thickBot="1" x14ac:dyDescent="0.3">
      <c r="B25" s="4"/>
      <c r="K25" s="196"/>
      <c r="L25" s="197"/>
      <c r="M25" s="197"/>
      <c r="N25" s="197"/>
      <c r="O25" s="197"/>
      <c r="P25" s="197"/>
      <c r="Q25" s="197"/>
      <c r="R25" s="198"/>
    </row>
    <row r="26" spans="2:18" s="1" customFormat="1" ht="20.25" customHeight="1" thickBot="1" x14ac:dyDescent="0.3">
      <c r="B26" s="10" t="s">
        <v>49</v>
      </c>
      <c r="C26" s="4"/>
      <c r="K26" s="185" t="s">
        <v>47</v>
      </c>
      <c r="L26" s="186"/>
      <c r="M26" s="186"/>
      <c r="N26" s="194">
        <f>I22+R24</f>
        <v>0</v>
      </c>
      <c r="O26" s="194"/>
      <c r="P26" s="194"/>
      <c r="Q26" s="194"/>
      <c r="R26" s="195"/>
    </row>
    <row r="27" spans="2:18" s="1" customFormat="1" ht="15" customHeight="1" x14ac:dyDescent="0.25">
      <c r="B27" s="8" t="s">
        <v>51</v>
      </c>
    </row>
    <row r="28" spans="2:18" s="1" customFormat="1" ht="15" customHeight="1" x14ac:dyDescent="0.25">
      <c r="B28" s="8" t="s">
        <v>95</v>
      </c>
    </row>
    <row r="29" spans="2:18" s="1" customFormat="1" ht="15" customHeight="1" x14ac:dyDescent="0.25">
      <c r="B29" s="8" t="s">
        <v>75</v>
      </c>
    </row>
    <row r="30" spans="2:18" s="1" customFormat="1" ht="15" customHeight="1" x14ac:dyDescent="0.25">
      <c r="B30" s="8" t="s">
        <v>108</v>
      </c>
    </row>
    <row r="31" spans="2:18" s="1" customFormat="1" ht="15" customHeight="1" x14ac:dyDescent="0.25">
      <c r="B31" s="8" t="s">
        <v>90</v>
      </c>
    </row>
    <row r="32" spans="2:18" s="1" customFormat="1" ht="15" customHeight="1" x14ac:dyDescent="0.25">
      <c r="B32" s="8" t="s">
        <v>76</v>
      </c>
    </row>
    <row r="33" spans="2:3" s="1" customFormat="1" ht="15" customHeight="1" x14ac:dyDescent="0.25">
      <c r="B33" s="155" t="s">
        <v>105</v>
      </c>
    </row>
    <row r="34" spans="2:3" s="1" customFormat="1" ht="15" customHeight="1" x14ac:dyDescent="0.25">
      <c r="B34" s="155" t="s">
        <v>101</v>
      </c>
    </row>
    <row r="35" spans="2:3" s="1" customFormat="1" ht="15" customHeight="1" x14ac:dyDescent="0.25">
      <c r="B35" s="155" t="s">
        <v>102</v>
      </c>
    </row>
    <row r="36" spans="2:3" s="1" customFormat="1" ht="15" customHeight="1" x14ac:dyDescent="0.25">
      <c r="B36" s="155" t="s">
        <v>106</v>
      </c>
    </row>
    <row r="37" spans="2:3" s="1" customFormat="1" ht="15" customHeight="1" x14ac:dyDescent="0.25">
      <c r="B37" s="8" t="s">
        <v>107</v>
      </c>
    </row>
    <row r="38" spans="2:3" s="1" customFormat="1" ht="15" customHeight="1" x14ac:dyDescent="0.25">
      <c r="B38" s="11" t="s">
        <v>55</v>
      </c>
    </row>
    <row r="39" spans="2:3" s="1" customFormat="1" ht="15" customHeight="1" x14ac:dyDescent="0.25"/>
    <row r="40" spans="2:3" s="1" customFormat="1" ht="15" customHeight="1" x14ac:dyDescent="0.25">
      <c r="B40" s="10"/>
      <c r="C40" s="4"/>
    </row>
    <row r="41" spans="2:3" s="1" customFormat="1" x14ac:dyDescent="0.25"/>
    <row r="42" spans="2:3" s="1" customFormat="1" x14ac:dyDescent="0.25"/>
    <row r="43" spans="2:3" s="1" customFormat="1" x14ac:dyDescent="0.25"/>
    <row r="44" spans="2:3" s="1" customFormat="1" x14ac:dyDescent="0.25"/>
    <row r="45" spans="2:3" s="1" customFormat="1" x14ac:dyDescent="0.25"/>
    <row r="46" spans="2:3" s="1" customFormat="1" x14ac:dyDescent="0.25"/>
    <row r="47" spans="2:3" s="1" customFormat="1" x14ac:dyDescent="0.25"/>
    <row r="48" spans="2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sheetProtection algorithmName="SHA-512" hashValue="65WkiJPv+75DlMzSsSOB01bFwz3zpqb9omU1WnrLZJi5c+yw4039WXCrRZehHjknwI4XbGEOZQf2io7o04jBQw==" saltValue="INIyp9ykhNYsCu0715G+2g==" spinCount="100000" sheet="1" objects="1" scenarios="1"/>
  <protectedRanges>
    <protectedRange sqref="I24" name="Диапазон5"/>
    <protectedRange sqref="I3" name="Диапазон4"/>
    <protectedRange sqref="C8" name="Диапазон1"/>
    <protectedRange sqref="E12:E21" name="Диапазон2"/>
    <protectedRange sqref="P12:P23" name="Диапазон3_1_1_1"/>
    <protectedRange sqref="C12:D21" name="Диапазон2_1"/>
  </protectedRanges>
  <mergeCells count="23">
    <mergeCell ref="L11:N11"/>
    <mergeCell ref="B5:I5"/>
    <mergeCell ref="B22:D22"/>
    <mergeCell ref="C7:I7"/>
    <mergeCell ref="C8:I8"/>
    <mergeCell ref="C9:I9"/>
    <mergeCell ref="L12:N12"/>
    <mergeCell ref="L13:N13"/>
    <mergeCell ref="L16:N16"/>
    <mergeCell ref="L19:N19"/>
    <mergeCell ref="L17:N17"/>
    <mergeCell ref="L15:N15"/>
    <mergeCell ref="L20:N20"/>
    <mergeCell ref="L18:N18"/>
    <mergeCell ref="L14:N14"/>
    <mergeCell ref="N24:Q24"/>
    <mergeCell ref="K26:M26"/>
    <mergeCell ref="K24:M24"/>
    <mergeCell ref="L21:N21"/>
    <mergeCell ref="L22:N22"/>
    <mergeCell ref="L23:N23"/>
    <mergeCell ref="N26:R26"/>
    <mergeCell ref="K25:R25"/>
  </mergeCells>
  <pageMargins left="0.7" right="0.7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42" yWindow="496" count="1">
        <x14:dataValidation type="list" errorStyle="warning" allowBlank="1" showInputMessage="1" showErrorMessage="1" errorTitle="ВНИМАНИЕ !!!" error="Вы не выбрали коллекцию" prompt="Выберите коллекцию">
          <x14:formula1>
            <xm:f>ДАТ!$B$25:$G$25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showGridLines="0" tabSelected="1" zoomScale="85" zoomScaleNormal="85" workbookViewId="0">
      <selection activeCell="E21" sqref="E21"/>
    </sheetView>
  </sheetViews>
  <sheetFormatPr defaultRowHeight="15" x14ac:dyDescent="0.25"/>
  <cols>
    <col min="1" max="1" width="9.140625" style="1"/>
    <col min="2" max="2" width="12.140625" style="1" customWidth="1"/>
    <col min="3" max="3" width="15.7109375" style="1" customWidth="1"/>
    <col min="4" max="4" width="18.7109375" style="1" customWidth="1"/>
    <col min="5" max="5" width="10.7109375" style="1" customWidth="1"/>
    <col min="6" max="6" width="11.42578125" style="1" customWidth="1"/>
    <col min="7" max="7" width="12.5703125" style="1" customWidth="1"/>
    <col min="8" max="9" width="15.7109375" style="1" customWidth="1"/>
    <col min="10" max="11" width="4.5703125" style="1" customWidth="1"/>
    <col min="12" max="12" width="22.140625" style="1" customWidth="1"/>
    <col min="13" max="13" width="19.28515625" style="1" customWidth="1"/>
    <col min="14" max="14" width="13.5703125" style="1" customWidth="1"/>
    <col min="15" max="15" width="9.7109375" style="1" customWidth="1"/>
    <col min="16" max="16" width="8.7109375" style="1" customWidth="1"/>
    <col min="17" max="17" width="15.5703125" style="1" customWidth="1"/>
    <col min="18" max="18" width="17.5703125" style="1" customWidth="1"/>
    <col min="19" max="25" width="9.140625" style="1"/>
    <col min="26" max="16384" width="9.140625" style="9"/>
  </cols>
  <sheetData>
    <row r="1" spans="2:18" s="1" customFormat="1" ht="20.100000000000001" customHeight="1" x14ac:dyDescent="0.25"/>
    <row r="2" spans="2:18" s="1" customFormat="1" ht="20.100000000000001" customHeight="1" thickBot="1" x14ac:dyDescent="0.3"/>
    <row r="3" spans="2:18" s="1" customFormat="1" ht="20.100000000000001" customHeight="1" thickBot="1" x14ac:dyDescent="0.3">
      <c r="H3" s="181" t="s">
        <v>37</v>
      </c>
      <c r="I3" s="94">
        <v>80</v>
      </c>
    </row>
    <row r="4" spans="2:18" s="1" customFormat="1" ht="9.75" customHeight="1" thickBot="1" x14ac:dyDescent="0.3"/>
    <row r="5" spans="2:18" s="1" customFormat="1" ht="20.100000000000001" customHeight="1" thickBot="1" x14ac:dyDescent="0.3">
      <c r="B5" s="200" t="s">
        <v>96</v>
      </c>
      <c r="C5" s="201"/>
      <c r="D5" s="201"/>
      <c r="E5" s="201"/>
      <c r="F5" s="201"/>
      <c r="G5" s="201"/>
      <c r="H5" s="201"/>
      <c r="I5" s="202"/>
    </row>
    <row r="6" spans="2:18" s="1" customFormat="1" ht="7.5" customHeight="1" thickBot="1" x14ac:dyDescent="0.3"/>
    <row r="7" spans="2:18" s="1" customFormat="1" ht="33.75" customHeight="1" thickBot="1" x14ac:dyDescent="0.3">
      <c r="B7" s="156" t="s">
        <v>41</v>
      </c>
      <c r="C7" s="203" t="s">
        <v>74</v>
      </c>
      <c r="D7" s="204"/>
      <c r="E7" s="204"/>
      <c r="F7" s="204"/>
      <c r="G7" s="204"/>
      <c r="H7" s="204"/>
      <c r="I7" s="205"/>
    </row>
    <row r="8" spans="2:18" s="1" customFormat="1" ht="20.100000000000001" customHeight="1" thickBot="1" x14ac:dyDescent="0.3">
      <c r="B8" s="156" t="s">
        <v>42</v>
      </c>
      <c r="C8" s="206" t="s">
        <v>115</v>
      </c>
      <c r="D8" s="207"/>
      <c r="E8" s="207"/>
      <c r="F8" s="207"/>
      <c r="G8" s="207"/>
      <c r="H8" s="207"/>
      <c r="I8" s="208"/>
    </row>
    <row r="9" spans="2:18" s="1" customFormat="1" ht="20.100000000000001" customHeight="1" thickBot="1" x14ac:dyDescent="0.3">
      <c r="B9" s="156" t="s">
        <v>43</v>
      </c>
      <c r="C9" s="209" t="str">
        <f>IF(C8=ДАТ2!B25,ДАТ2!B26,IF(C8=ДАТ2!C25,ДАТ2!C26,IF(C8=ДАТ2!D25,ДАТ2!D26,IF(C8=ДАТ2!E25,ДАТ2!E26,IF(C8=ДАТ2!F25,ДАТ2!F26,IF(C8=ДАТ2!G25,ДАТ2!G26,ДАТ2!G24))))))</f>
        <v>111/121/401/271/261</v>
      </c>
      <c r="D9" s="210"/>
      <c r="E9" s="210"/>
      <c r="F9" s="210"/>
      <c r="G9" s="210"/>
      <c r="H9" s="210"/>
      <c r="I9" s="211"/>
    </row>
    <row r="10" spans="2:18" s="1" customFormat="1" ht="9.75" customHeight="1" thickBot="1" x14ac:dyDescent="0.3"/>
    <row r="11" spans="2:18" s="1" customFormat="1" ht="35.1" customHeight="1" thickBot="1" x14ac:dyDescent="0.3">
      <c r="B11" s="108" t="s">
        <v>3</v>
      </c>
      <c r="C11" s="109" t="s">
        <v>40</v>
      </c>
      <c r="D11" s="110" t="s">
        <v>39</v>
      </c>
      <c r="E11" s="108" t="s">
        <v>6</v>
      </c>
      <c r="F11" s="129" t="s">
        <v>8</v>
      </c>
      <c r="G11" s="128" t="s">
        <v>7</v>
      </c>
      <c r="H11" s="110" t="s">
        <v>85</v>
      </c>
      <c r="I11" s="109" t="s">
        <v>84</v>
      </c>
      <c r="K11" s="108" t="s">
        <v>3</v>
      </c>
      <c r="L11" s="187" t="s">
        <v>44</v>
      </c>
      <c r="M11" s="183"/>
      <c r="N11" s="199"/>
      <c r="O11" s="110" t="s">
        <v>52</v>
      </c>
      <c r="P11" s="109" t="s">
        <v>83</v>
      </c>
      <c r="Q11" s="129" t="s">
        <v>87</v>
      </c>
      <c r="R11" s="109" t="s">
        <v>88</v>
      </c>
    </row>
    <row r="12" spans="2:18" s="1" customFormat="1" ht="15.95" customHeight="1" x14ac:dyDescent="0.25">
      <c r="B12" s="157">
        <v>1</v>
      </c>
      <c r="C12" s="149"/>
      <c r="D12" s="150"/>
      <c r="E12" s="158"/>
      <c r="F12" s="159">
        <f t="shared" ref="F12:F21" si="0">IF(D12&lt;=0,0,IF(C12&lt;=0,0,IF(E12&lt;=0,0,(D12*C12)*E12/1000000)))</f>
        <v>0</v>
      </c>
      <c r="G12" s="160">
        <f t="shared" ref="G12:G21" si="1">IF(D12&lt;=0,0,IF(C12&lt;=0,0,IF(E12&lt;=0,0,(D12+C12)*2*E12/1000)))</f>
        <v>0</v>
      </c>
      <c r="H12" s="161">
        <f>(ROUNDUP((IF(E12&lt;=0,0,IF(ДАТ2!I12=0,0,IF(ДАТ2!J12=0,0,(E12*ДАТ2!K12+G12*ДАТ2!N25)))))*ДАТ2!O25,0))</f>
        <v>0</v>
      </c>
      <c r="I12" s="162">
        <f>ROUNDUP(H12*I3,0)</f>
        <v>0</v>
      </c>
      <c r="K12" s="5">
        <v>1</v>
      </c>
      <c r="L12" s="212" t="s">
        <v>86</v>
      </c>
      <c r="M12" s="213"/>
      <c r="N12" s="214"/>
      <c r="O12" s="113" t="s">
        <v>53</v>
      </c>
      <c r="P12" s="114"/>
      <c r="Q12" s="115">
        <v>280</v>
      </c>
      <c r="R12" s="116">
        <f>IF(P12&lt;=0,0,P12*Q12)</f>
        <v>0</v>
      </c>
    </row>
    <row r="13" spans="2:18" s="1" customFormat="1" ht="15.95" customHeight="1" x14ac:dyDescent="0.25">
      <c r="B13" s="6">
        <v>2</v>
      </c>
      <c r="C13" s="119"/>
      <c r="D13" s="151"/>
      <c r="E13" s="163"/>
      <c r="F13" s="164">
        <f t="shared" si="0"/>
        <v>0</v>
      </c>
      <c r="G13" s="165">
        <f t="shared" si="1"/>
        <v>0</v>
      </c>
      <c r="H13" s="166">
        <f>(ROUNDUP((IF(E13&lt;=0,0,IF(ДАТ2!I13=0,0,IF(ДАТ2!J13=0,0,(E13*ДАТ2!K13+G13*ДАТ2!N25)))))*ДАТ2!O25,0))</f>
        <v>0</v>
      </c>
      <c r="I13" s="167">
        <f>ROUNDUP(H13*I3,0)</f>
        <v>0</v>
      </c>
      <c r="K13" s="5">
        <v>2</v>
      </c>
      <c r="L13" s="188" t="s">
        <v>91</v>
      </c>
      <c r="M13" s="189"/>
      <c r="N13" s="190"/>
      <c r="O13" s="117" t="s">
        <v>54</v>
      </c>
      <c r="P13" s="114"/>
      <c r="Q13" s="115">
        <v>2160</v>
      </c>
      <c r="R13" s="116">
        <f t="shared" ref="R13:R23" si="2">IF(P13&lt;=0,0,P13*Q13)</f>
        <v>0</v>
      </c>
    </row>
    <row r="14" spans="2:18" s="1" customFormat="1" ht="15.95" customHeight="1" x14ac:dyDescent="0.25">
      <c r="B14" s="6">
        <v>3</v>
      </c>
      <c r="C14" s="119"/>
      <c r="D14" s="151"/>
      <c r="E14" s="163"/>
      <c r="F14" s="164">
        <f t="shared" si="0"/>
        <v>0</v>
      </c>
      <c r="G14" s="165">
        <f t="shared" si="1"/>
        <v>0</v>
      </c>
      <c r="H14" s="166">
        <f>(ROUNDUP((IF(E14&lt;=0,0,IF(ДАТ2!I14=0,0,IF(ДАТ2!J14=0,0,(E14*ДАТ2!K14+G14*ДАТ2!N25)))))*ДАТ2!O25,0))</f>
        <v>0</v>
      </c>
      <c r="I14" s="167">
        <f>ROUNDUP(H14*I3,0)</f>
        <v>0</v>
      </c>
      <c r="K14" s="5">
        <v>3</v>
      </c>
      <c r="L14" s="188" t="s">
        <v>92</v>
      </c>
      <c r="M14" s="189"/>
      <c r="N14" s="190"/>
      <c r="O14" s="117" t="s">
        <v>54</v>
      </c>
      <c r="P14" s="114"/>
      <c r="Q14" s="115">
        <v>4030</v>
      </c>
      <c r="R14" s="116">
        <f t="shared" si="2"/>
        <v>0</v>
      </c>
    </row>
    <row r="15" spans="2:18" s="1" customFormat="1" ht="15.95" customHeight="1" x14ac:dyDescent="0.25">
      <c r="B15" s="6">
        <v>4</v>
      </c>
      <c r="C15" s="119"/>
      <c r="D15" s="151"/>
      <c r="E15" s="163"/>
      <c r="F15" s="164">
        <f t="shared" si="0"/>
        <v>0</v>
      </c>
      <c r="G15" s="165">
        <f t="shared" si="1"/>
        <v>0</v>
      </c>
      <c r="H15" s="166">
        <f>(ROUNDUP((IF(E15&lt;=0,0,IF(ДАТ2!I15=0,0,IF(ДАТ2!J15=0,0,(E15*ДАТ2!K15+G15*ДАТ2!N25)))))*ДАТ2!O25,0))</f>
        <v>0</v>
      </c>
      <c r="I15" s="167">
        <f>ROUNDUP(H15*I3,0)</f>
        <v>0</v>
      </c>
      <c r="K15" s="5">
        <v>4</v>
      </c>
      <c r="L15" s="188" t="s">
        <v>82</v>
      </c>
      <c r="M15" s="189"/>
      <c r="N15" s="190"/>
      <c r="O15" s="117" t="s">
        <v>54</v>
      </c>
      <c r="P15" s="114"/>
      <c r="Q15" s="115">
        <v>4200</v>
      </c>
      <c r="R15" s="116">
        <f t="shared" si="2"/>
        <v>0</v>
      </c>
    </row>
    <row r="16" spans="2:18" s="1" customFormat="1" ht="15.95" customHeight="1" x14ac:dyDescent="0.25">
      <c r="B16" s="6">
        <v>5</v>
      </c>
      <c r="C16" s="119"/>
      <c r="D16" s="151"/>
      <c r="E16" s="163"/>
      <c r="F16" s="164">
        <f t="shared" si="0"/>
        <v>0</v>
      </c>
      <c r="G16" s="165">
        <f t="shared" si="1"/>
        <v>0</v>
      </c>
      <c r="H16" s="166">
        <f>(ROUNDUP((IF(E16&lt;=0,0,IF(ДАТ2!I16=0,0,IF(ДАТ2!J16=0,0,(E16*ДАТ2!K16+G16*ДАТ2!N25)))))*ДАТ2!O25,0))</f>
        <v>0</v>
      </c>
      <c r="I16" s="167">
        <f>ROUNDUP(H16*I3,0)</f>
        <v>0</v>
      </c>
      <c r="K16" s="6">
        <v>5</v>
      </c>
      <c r="L16" s="188" t="s">
        <v>93</v>
      </c>
      <c r="M16" s="189"/>
      <c r="N16" s="190"/>
      <c r="O16" s="118" t="s">
        <v>54</v>
      </c>
      <c r="P16" s="119"/>
      <c r="Q16" s="120">
        <v>240</v>
      </c>
      <c r="R16" s="116">
        <f t="shared" si="2"/>
        <v>0</v>
      </c>
    </row>
    <row r="17" spans="2:18" s="1" customFormat="1" ht="15.95" customHeight="1" x14ac:dyDescent="0.25">
      <c r="B17" s="6">
        <v>6</v>
      </c>
      <c r="C17" s="119"/>
      <c r="D17" s="151"/>
      <c r="E17" s="168"/>
      <c r="F17" s="169">
        <f t="shared" si="0"/>
        <v>0</v>
      </c>
      <c r="G17" s="170">
        <f t="shared" si="1"/>
        <v>0</v>
      </c>
      <c r="H17" s="171">
        <f>(ROUNDUP((IF(E17&lt;=0,0,IF(ДАТ2!I17=0,0,IF(ДАТ2!J17=0,0,(E17*ДАТ2!K17+G17*ДАТ2!N25)))))*ДАТ2!O25,0))</f>
        <v>0</v>
      </c>
      <c r="I17" s="172">
        <f>ROUNDUP(H17*I3,0)</f>
        <v>0</v>
      </c>
      <c r="K17" s="6">
        <v>6</v>
      </c>
      <c r="L17" s="188" t="s">
        <v>78</v>
      </c>
      <c r="M17" s="189"/>
      <c r="N17" s="190"/>
      <c r="O17" s="118" t="s">
        <v>53</v>
      </c>
      <c r="P17" s="119"/>
      <c r="Q17" s="120">
        <v>1600</v>
      </c>
      <c r="R17" s="116">
        <f t="shared" si="2"/>
        <v>0</v>
      </c>
    </row>
    <row r="18" spans="2:18" s="1" customFormat="1" ht="15.95" customHeight="1" x14ac:dyDescent="0.25">
      <c r="B18" s="6">
        <v>7</v>
      </c>
      <c r="C18" s="119"/>
      <c r="D18" s="151"/>
      <c r="E18" s="168"/>
      <c r="F18" s="169">
        <f t="shared" si="0"/>
        <v>0</v>
      </c>
      <c r="G18" s="170">
        <f t="shared" si="1"/>
        <v>0</v>
      </c>
      <c r="H18" s="171">
        <f>(ROUNDUP((IF(E18&lt;=0,0,IF(ДАТ2!I18=0,0,IF(ДАТ2!J18=0,0,(E18*ДАТ2!K18+G18*ДАТ2!N25)))))*ДАТ2!O25,0))</f>
        <v>0</v>
      </c>
      <c r="I18" s="172">
        <f>ROUNDUP(H18*I3,0)</f>
        <v>0</v>
      </c>
      <c r="K18" s="6">
        <v>7</v>
      </c>
      <c r="L18" s="188" t="s">
        <v>94</v>
      </c>
      <c r="M18" s="189"/>
      <c r="N18" s="190"/>
      <c r="O18" s="118" t="s">
        <v>53</v>
      </c>
      <c r="P18" s="119"/>
      <c r="Q18" s="120">
        <v>580</v>
      </c>
      <c r="R18" s="116">
        <f t="shared" si="2"/>
        <v>0</v>
      </c>
    </row>
    <row r="19" spans="2:18" s="1" customFormat="1" ht="15.95" customHeight="1" x14ac:dyDescent="0.25">
      <c r="B19" s="6">
        <v>8</v>
      </c>
      <c r="C19" s="119"/>
      <c r="D19" s="151"/>
      <c r="E19" s="168"/>
      <c r="F19" s="169">
        <f t="shared" si="0"/>
        <v>0</v>
      </c>
      <c r="G19" s="170">
        <f t="shared" si="1"/>
        <v>0</v>
      </c>
      <c r="H19" s="171">
        <f>(ROUNDUP((IF(E19&lt;=0,0,IF(ДАТ2!I19=0,0,IF(ДАТ2!J19=0,0,(E19*ДАТ2!K19+G19*ДАТ2!N25)))))*ДАТ2!O25,0))</f>
        <v>0</v>
      </c>
      <c r="I19" s="172">
        <f>ROUNDUP(H19*I3,0)</f>
        <v>0</v>
      </c>
      <c r="K19" s="6">
        <v>8</v>
      </c>
      <c r="L19" s="188" t="s">
        <v>72</v>
      </c>
      <c r="M19" s="189"/>
      <c r="N19" s="190"/>
      <c r="O19" s="118" t="s">
        <v>54</v>
      </c>
      <c r="P19" s="119"/>
      <c r="Q19" s="120">
        <v>240</v>
      </c>
      <c r="R19" s="116">
        <f t="shared" si="2"/>
        <v>0</v>
      </c>
    </row>
    <row r="20" spans="2:18" s="1" customFormat="1" ht="15.95" customHeight="1" x14ac:dyDescent="0.25">
      <c r="B20" s="173">
        <v>9</v>
      </c>
      <c r="C20" s="152"/>
      <c r="D20" s="153"/>
      <c r="E20" s="168"/>
      <c r="F20" s="169">
        <f t="shared" si="0"/>
        <v>0</v>
      </c>
      <c r="G20" s="170">
        <f t="shared" si="1"/>
        <v>0</v>
      </c>
      <c r="H20" s="171">
        <f>(ROUNDUP((IF(E20&lt;=0,0,IF(ДАТ2!I20=0,0,IF(ДАТ2!J20=0,0,(E20*ДАТ2!K20+G20*ДАТ2!N25)))))*ДАТ2!O25,0))</f>
        <v>0</v>
      </c>
      <c r="I20" s="172">
        <f>ROUNDUP(H20*I3,0)</f>
        <v>0</v>
      </c>
      <c r="K20" s="6">
        <v>9</v>
      </c>
      <c r="L20" s="188" t="s">
        <v>77</v>
      </c>
      <c r="M20" s="189"/>
      <c r="N20" s="190"/>
      <c r="O20" s="118" t="s">
        <v>54</v>
      </c>
      <c r="P20" s="119"/>
      <c r="Q20" s="120">
        <v>4200</v>
      </c>
      <c r="R20" s="116">
        <f t="shared" si="2"/>
        <v>0</v>
      </c>
    </row>
    <row r="21" spans="2:18" s="1" customFormat="1" ht="15.95" customHeight="1" thickBot="1" x14ac:dyDescent="0.3">
      <c r="B21" s="7">
        <v>10</v>
      </c>
      <c r="C21" s="122"/>
      <c r="D21" s="154"/>
      <c r="E21" s="174"/>
      <c r="F21" s="175">
        <f t="shared" si="0"/>
        <v>0</v>
      </c>
      <c r="G21" s="176">
        <f t="shared" si="1"/>
        <v>0</v>
      </c>
      <c r="H21" s="177">
        <f>(ROUNDUP((IF(E21&lt;=0,0,IF(ДАТ2!I21=0,0,IF(ДАТ2!J21=0,0,(E21*ДАТ2!K21+G21*ДАТ2!N25)))))*ДАТ2!O25,0))</f>
        <v>0</v>
      </c>
      <c r="I21" s="178">
        <f>ROUNDUP(H21*I3,0)</f>
        <v>0</v>
      </c>
      <c r="K21" s="6">
        <v>10</v>
      </c>
      <c r="L21" s="188" t="s">
        <v>79</v>
      </c>
      <c r="M21" s="189"/>
      <c r="N21" s="190"/>
      <c r="O21" s="118" t="s">
        <v>54</v>
      </c>
      <c r="P21" s="119"/>
      <c r="Q21" s="120">
        <v>1200</v>
      </c>
      <c r="R21" s="116">
        <f t="shared" si="2"/>
        <v>0</v>
      </c>
    </row>
    <row r="22" spans="2:18" s="1" customFormat="1" ht="15.95" customHeight="1" thickBot="1" x14ac:dyDescent="0.3">
      <c r="B22" s="187" t="s">
        <v>45</v>
      </c>
      <c r="C22" s="183"/>
      <c r="D22" s="199"/>
      <c r="E22" s="108">
        <f>SUM(E12:E21)</f>
        <v>0</v>
      </c>
      <c r="F22" s="129">
        <f>SUM(F12:F21)</f>
        <v>0</v>
      </c>
      <c r="G22" s="128">
        <f>SUM(G12:G21)</f>
        <v>0</v>
      </c>
      <c r="H22" s="111">
        <f>SUM(H12:H21)</f>
        <v>0</v>
      </c>
      <c r="I22" s="112">
        <f>SUM(I12:I21)</f>
        <v>0</v>
      </c>
      <c r="K22" s="6">
        <v>11</v>
      </c>
      <c r="L22" s="188" t="s">
        <v>81</v>
      </c>
      <c r="M22" s="189"/>
      <c r="N22" s="190"/>
      <c r="O22" s="118" t="s">
        <v>54</v>
      </c>
      <c r="P22" s="119"/>
      <c r="Q22" s="120">
        <v>2200</v>
      </c>
      <c r="R22" s="116">
        <f t="shared" si="2"/>
        <v>0</v>
      </c>
    </row>
    <row r="23" spans="2:18" s="1" customFormat="1" ht="15.95" customHeight="1" thickBot="1" x14ac:dyDescent="0.3">
      <c r="K23" s="7">
        <v>12</v>
      </c>
      <c r="L23" s="191" t="s">
        <v>80</v>
      </c>
      <c r="M23" s="192"/>
      <c r="N23" s="193"/>
      <c r="O23" s="121" t="s">
        <v>54</v>
      </c>
      <c r="P23" s="122"/>
      <c r="Q23" s="123">
        <v>4200</v>
      </c>
      <c r="R23" s="116">
        <f t="shared" si="2"/>
        <v>0</v>
      </c>
    </row>
    <row r="24" spans="2:18" s="1" customFormat="1" ht="15.95" customHeight="1" thickBot="1" x14ac:dyDescent="0.3">
      <c r="C24" s="2"/>
      <c r="D24" s="3" t="s">
        <v>50</v>
      </c>
      <c r="H24" s="179"/>
      <c r="I24" s="180"/>
      <c r="K24" s="187" t="s">
        <v>46</v>
      </c>
      <c r="L24" s="183"/>
      <c r="M24" s="184"/>
      <c r="N24" s="182"/>
      <c r="O24" s="183"/>
      <c r="P24" s="183"/>
      <c r="Q24" s="184"/>
      <c r="R24" s="112">
        <f>SUM(R12:R23)</f>
        <v>0</v>
      </c>
    </row>
    <row r="25" spans="2:18" s="1" customFormat="1" ht="15.95" customHeight="1" thickBot="1" x14ac:dyDescent="0.3">
      <c r="B25" s="4"/>
      <c r="K25" s="196"/>
      <c r="L25" s="197"/>
      <c r="M25" s="197"/>
      <c r="N25" s="197"/>
      <c r="O25" s="197"/>
      <c r="P25" s="197"/>
      <c r="Q25" s="197"/>
      <c r="R25" s="198"/>
    </row>
    <row r="26" spans="2:18" s="1" customFormat="1" ht="20.25" customHeight="1" thickBot="1" x14ac:dyDescent="0.3">
      <c r="B26" s="10" t="s">
        <v>49</v>
      </c>
      <c r="C26" s="4"/>
      <c r="K26" s="185" t="s">
        <v>47</v>
      </c>
      <c r="L26" s="186"/>
      <c r="M26" s="186"/>
      <c r="N26" s="194">
        <f>I22+R24</f>
        <v>0</v>
      </c>
      <c r="O26" s="194"/>
      <c r="P26" s="194"/>
      <c r="Q26" s="194"/>
      <c r="R26" s="195"/>
    </row>
    <row r="27" spans="2:18" s="1" customFormat="1" ht="15" customHeight="1" x14ac:dyDescent="0.25">
      <c r="B27" s="8" t="s">
        <v>51</v>
      </c>
    </row>
    <row r="28" spans="2:18" s="1" customFormat="1" ht="15" customHeight="1" x14ac:dyDescent="0.25">
      <c r="B28" s="8" t="s">
        <v>95</v>
      </c>
    </row>
    <row r="29" spans="2:18" s="1" customFormat="1" ht="15" customHeight="1" x14ac:dyDescent="0.25">
      <c r="B29" s="8" t="s">
        <v>109</v>
      </c>
    </row>
    <row r="30" spans="2:18" s="1" customFormat="1" ht="15" customHeight="1" x14ac:dyDescent="0.25">
      <c r="B30" s="8" t="s">
        <v>108</v>
      </c>
    </row>
    <row r="31" spans="2:18" s="1" customFormat="1" ht="15" customHeight="1" x14ac:dyDescent="0.25">
      <c r="B31" s="8" t="s">
        <v>90</v>
      </c>
    </row>
    <row r="32" spans="2:18" s="1" customFormat="1" ht="15" customHeight="1" x14ac:dyDescent="0.25">
      <c r="B32" s="155" t="s">
        <v>100</v>
      </c>
    </row>
    <row r="33" spans="2:3" s="1" customFormat="1" ht="15" customHeight="1" x14ac:dyDescent="0.25">
      <c r="B33" s="155" t="s">
        <v>101</v>
      </c>
    </row>
    <row r="34" spans="2:3" s="1" customFormat="1" ht="15" customHeight="1" x14ac:dyDescent="0.25">
      <c r="B34" s="155" t="s">
        <v>102</v>
      </c>
    </row>
    <row r="35" spans="2:3" s="1" customFormat="1" ht="15" customHeight="1" x14ac:dyDescent="0.25">
      <c r="B35" s="155" t="s">
        <v>103</v>
      </c>
    </row>
    <row r="36" spans="2:3" s="1" customFormat="1" ht="15" customHeight="1" x14ac:dyDescent="0.25">
      <c r="B36" s="8" t="s">
        <v>104</v>
      </c>
    </row>
    <row r="37" spans="2:3" s="1" customFormat="1" ht="15" customHeight="1" x14ac:dyDescent="0.25">
      <c r="B37" s="11" t="s">
        <v>55</v>
      </c>
    </row>
    <row r="38" spans="2:3" s="1" customFormat="1" ht="15" customHeight="1" x14ac:dyDescent="0.25"/>
    <row r="39" spans="2:3" s="1" customFormat="1" ht="15" customHeight="1" x14ac:dyDescent="0.25"/>
    <row r="40" spans="2:3" s="1" customFormat="1" ht="15" customHeight="1" x14ac:dyDescent="0.25">
      <c r="B40" s="10"/>
      <c r="C40" s="4"/>
    </row>
    <row r="41" spans="2:3" s="1" customFormat="1" x14ac:dyDescent="0.25"/>
    <row r="42" spans="2:3" s="1" customFormat="1" x14ac:dyDescent="0.25"/>
    <row r="43" spans="2:3" s="1" customFormat="1" x14ac:dyDescent="0.25"/>
    <row r="44" spans="2:3" s="1" customFormat="1" x14ac:dyDescent="0.25"/>
    <row r="45" spans="2:3" s="1" customFormat="1" x14ac:dyDescent="0.25"/>
    <row r="46" spans="2:3" s="1" customFormat="1" x14ac:dyDescent="0.25"/>
    <row r="47" spans="2:3" s="1" customFormat="1" x14ac:dyDescent="0.25"/>
    <row r="48" spans="2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</sheetData>
  <sheetProtection algorithmName="SHA-512" hashValue="D18Hdkxs5v7hu/eBpHEQFJHiuhwuZYnRu6Xvnx7ux3RWxAwAHoHZMI1U0YnqtRiVBgnxv/RnwdPJGaxOcpHK/g==" saltValue="aZbSUnObW/wqprNdcCdD1Q==" spinCount="100000" sheet="1" objects="1" scenarios="1"/>
  <protectedRanges>
    <protectedRange sqref="I24" name="Диапазон5"/>
    <protectedRange sqref="I3" name="Диапазон4"/>
    <protectedRange sqref="C8" name="Диапазон1"/>
    <protectedRange sqref="E12:E21" name="Диапазон2"/>
    <protectedRange sqref="P12:P23" name="Диапазон3_1_1_1"/>
    <protectedRange sqref="C12:D21" name="Диапазон2_1"/>
  </protectedRanges>
  <mergeCells count="23">
    <mergeCell ref="L12:N12"/>
    <mergeCell ref="K25:R25"/>
    <mergeCell ref="B5:I5"/>
    <mergeCell ref="C7:I7"/>
    <mergeCell ref="C8:I8"/>
    <mergeCell ref="C9:I9"/>
    <mergeCell ref="L11:N11"/>
    <mergeCell ref="B22:D22"/>
    <mergeCell ref="L22:N22"/>
    <mergeCell ref="L23:N23"/>
    <mergeCell ref="L13:N13"/>
    <mergeCell ref="L14:N14"/>
    <mergeCell ref="L15:N15"/>
    <mergeCell ref="L16:N16"/>
    <mergeCell ref="L17:N17"/>
    <mergeCell ref="L18:N18"/>
    <mergeCell ref="K24:M24"/>
    <mergeCell ref="N24:Q24"/>
    <mergeCell ref="K26:M26"/>
    <mergeCell ref="N26:R26"/>
    <mergeCell ref="L19:N19"/>
    <mergeCell ref="L20:N20"/>
    <mergeCell ref="L21:N21"/>
  </mergeCells>
  <pageMargins left="0.7" right="0.7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ВНИМАНИЕ !!!" error="Вы не выбрали коллекцию" prompt="Выберите коллекцию">
          <x14:formula1>
            <xm:f>ДАТ2!$B$25:$F$25</xm:f>
          </x14:formula1>
          <xm:sqref>C8:I8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="80" zoomScaleNormal="80" workbookViewId="0">
      <selection activeCell="E26" sqref="E26"/>
    </sheetView>
  </sheetViews>
  <sheetFormatPr defaultRowHeight="15" x14ac:dyDescent="0.25"/>
  <cols>
    <col min="1" max="1" width="3.28515625" style="9" customWidth="1"/>
    <col min="2" max="2" width="12.85546875" style="12" customWidth="1"/>
    <col min="3" max="3" width="11.85546875" style="12" customWidth="1"/>
    <col min="4" max="4" width="11.28515625" style="12" customWidth="1"/>
    <col min="5" max="5" width="11.7109375" style="12" customWidth="1"/>
    <col min="6" max="6" width="12" style="12" customWidth="1"/>
    <col min="7" max="7" width="12.7109375" style="12" customWidth="1"/>
    <col min="8" max="8" width="11.42578125" style="12" customWidth="1"/>
    <col min="9" max="9" width="10.7109375" style="12" customWidth="1"/>
    <col min="10" max="10" width="11" style="12" customWidth="1"/>
    <col min="11" max="11" width="10.28515625" style="12" customWidth="1"/>
    <col min="12" max="12" width="11.42578125" style="12" customWidth="1"/>
    <col min="13" max="13" width="10.85546875" style="12" customWidth="1"/>
    <col min="14" max="14" width="14" style="12" customWidth="1"/>
    <col min="15" max="15" width="11.5703125" style="12" customWidth="1"/>
    <col min="16" max="16" width="13" style="12" customWidth="1"/>
    <col min="17" max="17" width="12.85546875" style="12" customWidth="1"/>
    <col min="18" max="18" width="11.28515625" style="12" customWidth="1"/>
    <col min="19" max="19" width="11.42578125" style="12" customWidth="1"/>
    <col min="20" max="20" width="12.140625" style="12" customWidth="1"/>
    <col min="21" max="21" width="11" style="12" customWidth="1"/>
    <col min="22" max="29" width="9.140625" style="12"/>
    <col min="30" max="16384" width="9.140625" style="9"/>
  </cols>
  <sheetData>
    <row r="1" spans="2:21" s="12" customFormat="1" x14ac:dyDescent="0.25">
      <c r="B1" s="236" t="s">
        <v>38</v>
      </c>
      <c r="C1" s="237"/>
      <c r="D1" s="237"/>
      <c r="E1" s="237"/>
      <c r="F1" s="237"/>
      <c r="G1" s="237"/>
      <c r="H1" s="237"/>
      <c r="I1" s="238"/>
      <c r="K1" s="236" t="s">
        <v>38</v>
      </c>
      <c r="L1" s="237"/>
      <c r="M1" s="237"/>
      <c r="N1" s="237"/>
      <c r="O1" s="238"/>
      <c r="Q1" s="13"/>
      <c r="R1" s="13"/>
      <c r="S1" s="13"/>
      <c r="T1" s="13"/>
      <c r="U1" s="13"/>
    </row>
    <row r="2" spans="2:21" s="12" customFormat="1" x14ac:dyDescent="0.25">
      <c r="B2" s="14"/>
      <c r="C2" s="15"/>
      <c r="D2" s="16">
        <v>680</v>
      </c>
      <c r="E2" s="16">
        <v>1360</v>
      </c>
      <c r="F2" s="16">
        <v>2040</v>
      </c>
      <c r="G2" s="16">
        <v>2720</v>
      </c>
      <c r="H2" s="16">
        <v>3400</v>
      </c>
      <c r="I2" s="16">
        <v>4080</v>
      </c>
      <c r="K2" s="239"/>
      <c r="L2" s="239" t="s">
        <v>5</v>
      </c>
      <c r="M2" s="239"/>
      <c r="N2" s="239" t="s">
        <v>4</v>
      </c>
      <c r="O2" s="239"/>
      <c r="Q2" s="13"/>
      <c r="R2" s="13"/>
      <c r="S2" s="13"/>
      <c r="T2" s="13"/>
      <c r="U2" s="13"/>
    </row>
    <row r="3" spans="2:21" s="12" customFormat="1" x14ac:dyDescent="0.25">
      <c r="B3" s="224" t="s">
        <v>31</v>
      </c>
      <c r="C3" s="16">
        <v>610</v>
      </c>
      <c r="D3" s="14">
        <f>(C3*D2)/1000000</f>
        <v>0.4148</v>
      </c>
      <c r="E3" s="14">
        <f>(C3*E2)/1000000</f>
        <v>0.8296</v>
      </c>
      <c r="F3" s="14">
        <f>(C3*F2)/1000000</f>
        <v>1.2444</v>
      </c>
      <c r="G3" s="14">
        <f>(C3*G2)/1000000</f>
        <v>1.6592</v>
      </c>
      <c r="H3" s="14">
        <f>(C3*H2)/1000000</f>
        <v>2.0739999999999998</v>
      </c>
      <c r="I3" s="14">
        <f>(C3*I2)/1000000</f>
        <v>2.4887999999999999</v>
      </c>
      <c r="K3" s="240"/>
      <c r="L3" s="15" t="s">
        <v>35</v>
      </c>
      <c r="M3" s="15" t="s">
        <v>36</v>
      </c>
      <c r="N3" s="15" t="s">
        <v>35</v>
      </c>
      <c r="O3" s="15" t="s">
        <v>36</v>
      </c>
      <c r="Q3" s="17"/>
      <c r="R3" s="13"/>
      <c r="S3" s="13"/>
      <c r="T3" s="13"/>
      <c r="U3" s="13"/>
    </row>
    <row r="4" spans="2:21" s="12" customFormat="1" x14ac:dyDescent="0.25">
      <c r="B4" s="241"/>
      <c r="C4" s="16">
        <v>1220</v>
      </c>
      <c r="D4" s="14">
        <f>(C4*D2)/1000000</f>
        <v>0.8296</v>
      </c>
      <c r="E4" s="14">
        <f>(C4*E2)/1000000</f>
        <v>1.6592</v>
      </c>
      <c r="F4" s="14">
        <f>(C4*F2)/1000000</f>
        <v>2.4887999999999999</v>
      </c>
      <c r="G4" s="14">
        <f>(C4*G2)/1000000</f>
        <v>3.3184</v>
      </c>
      <c r="H4" s="14">
        <f>(C4*H2)/1000000</f>
        <v>4.1479999999999997</v>
      </c>
      <c r="I4" s="14">
        <f>(C4*I2)/1000000</f>
        <v>4.9775999999999998</v>
      </c>
      <c r="K4" s="15" t="s">
        <v>33</v>
      </c>
      <c r="L4" s="103">
        <v>450</v>
      </c>
      <c r="M4" s="104">
        <v>1854</v>
      </c>
      <c r="N4" s="105">
        <v>150</v>
      </c>
      <c r="O4" s="104">
        <v>4100</v>
      </c>
      <c r="Q4" s="13"/>
      <c r="R4" s="18"/>
      <c r="S4" s="19"/>
      <c r="T4" s="20"/>
      <c r="U4" s="18"/>
    </row>
    <row r="5" spans="2:21" s="12" customFormat="1" x14ac:dyDescent="0.25">
      <c r="B5" s="225"/>
      <c r="C5" s="16">
        <v>1830</v>
      </c>
      <c r="D5" s="14">
        <f>(C5*D2)/1000000</f>
        <v>1.2444</v>
      </c>
      <c r="E5" s="14">
        <f>(C5*E2)/1000000</f>
        <v>2.4887999999999999</v>
      </c>
      <c r="F5" s="14">
        <f>(C5*F2)/1000000</f>
        <v>3.7332000000000001</v>
      </c>
      <c r="G5" s="14">
        <f>(C5*G2)/1000000</f>
        <v>4.9775999999999998</v>
      </c>
      <c r="H5" s="14">
        <f>(C5*H2)/1000000</f>
        <v>6.2220000000000004</v>
      </c>
      <c r="I5" s="14">
        <f>(C5*I2)/1000000</f>
        <v>7.4664000000000001</v>
      </c>
      <c r="K5" s="21" t="s">
        <v>34</v>
      </c>
      <c r="L5" s="106">
        <v>150</v>
      </c>
      <c r="M5" s="106">
        <v>1000</v>
      </c>
      <c r="N5" s="106">
        <v>300</v>
      </c>
      <c r="O5" s="106">
        <v>1400</v>
      </c>
      <c r="Q5" s="13"/>
      <c r="R5" s="18"/>
      <c r="S5" s="18"/>
      <c r="T5" s="18"/>
      <c r="U5" s="18"/>
    </row>
    <row r="6" spans="2:21" s="12" customFormat="1" x14ac:dyDescent="0.25">
      <c r="B6" s="224" t="s">
        <v>32</v>
      </c>
      <c r="C6" s="16">
        <v>640</v>
      </c>
      <c r="D6" s="14">
        <f>(C6*D2)/1000000</f>
        <v>0.43519999999999998</v>
      </c>
      <c r="E6" s="14">
        <f>(C6*E2)/1000000</f>
        <v>0.87039999999999995</v>
      </c>
      <c r="F6" s="14">
        <f>(C6*F2)/1000000</f>
        <v>1.3056000000000001</v>
      </c>
      <c r="G6" s="14">
        <f>(C6*G2)/1000000</f>
        <v>1.7407999999999999</v>
      </c>
      <c r="H6" s="14">
        <f>(C6*H2)/1000000</f>
        <v>2.1760000000000002</v>
      </c>
      <c r="I6" s="14">
        <f>(C6*I2)/1000000</f>
        <v>2.6112000000000002</v>
      </c>
      <c r="K6" s="21" t="s">
        <v>25</v>
      </c>
      <c r="L6" s="106">
        <v>600</v>
      </c>
      <c r="M6" s="106">
        <v>1400</v>
      </c>
      <c r="N6" s="106">
        <v>600</v>
      </c>
      <c r="O6" s="106">
        <v>1400</v>
      </c>
      <c r="Q6" s="13"/>
      <c r="R6" s="18"/>
      <c r="S6" s="19"/>
      <c r="T6" s="18"/>
      <c r="U6" s="20"/>
    </row>
    <row r="7" spans="2:21" s="12" customFormat="1" x14ac:dyDescent="0.25">
      <c r="B7" s="225"/>
      <c r="C7" s="16">
        <v>1280</v>
      </c>
      <c r="D7" s="14">
        <f>(C7*D2)/1000000</f>
        <v>0.87039999999999995</v>
      </c>
      <c r="E7" s="14">
        <f>(C7*E2)/1000000</f>
        <v>1.7407999999999999</v>
      </c>
      <c r="F7" s="14">
        <f>(C7*F2)/1000000</f>
        <v>2.6112000000000002</v>
      </c>
      <c r="G7" s="14">
        <f>(C7*G2)/1000000</f>
        <v>3.4815999999999998</v>
      </c>
      <c r="H7" s="14">
        <f>(C7*H2)/1000000</f>
        <v>4.3520000000000003</v>
      </c>
      <c r="I7" s="14">
        <f>(C7*I2)/1000000</f>
        <v>5.2224000000000004</v>
      </c>
      <c r="K7" s="15" t="s">
        <v>61</v>
      </c>
      <c r="L7" s="105">
        <v>50</v>
      </c>
      <c r="M7" s="105">
        <v>150</v>
      </c>
      <c r="N7" s="103">
        <v>1360</v>
      </c>
      <c r="O7" s="103">
        <v>4100</v>
      </c>
      <c r="Q7" s="13"/>
      <c r="R7" s="22"/>
      <c r="S7" s="22"/>
      <c r="T7" s="22"/>
      <c r="U7" s="22"/>
    </row>
    <row r="8" spans="2:21" s="12" customFormat="1" x14ac:dyDescent="0.25">
      <c r="L8" s="23"/>
      <c r="M8" s="23"/>
      <c r="N8" s="23"/>
    </row>
    <row r="9" spans="2:21" s="12" customFormat="1" ht="15.75" thickBot="1" x14ac:dyDescent="0.3">
      <c r="B9" s="17"/>
      <c r="C9" s="17"/>
      <c r="D9" s="17"/>
      <c r="E9" s="17"/>
      <c r="F9" s="17"/>
      <c r="G9" s="24"/>
      <c r="L9" s="23"/>
      <c r="M9" s="23"/>
      <c r="N9" s="23"/>
    </row>
    <row r="10" spans="2:21" s="12" customFormat="1" ht="15.75" thickBot="1" x14ac:dyDescent="0.3">
      <c r="B10" s="229" t="s">
        <v>13</v>
      </c>
      <c r="C10" s="230"/>
      <c r="D10" s="230"/>
      <c r="E10" s="230"/>
      <c r="F10" s="230"/>
      <c r="G10" s="231"/>
      <c r="I10" s="226" t="s">
        <v>59</v>
      </c>
      <c r="J10" s="227"/>
      <c r="K10" s="234"/>
      <c r="L10" s="234"/>
      <c r="M10" s="234"/>
      <c r="N10" s="235"/>
      <c r="O10" s="17"/>
      <c r="P10" s="229" t="s">
        <v>14</v>
      </c>
      <c r="Q10" s="230"/>
      <c r="R10" s="230"/>
      <c r="S10" s="230"/>
      <c r="T10" s="230"/>
      <c r="U10" s="231"/>
    </row>
    <row r="11" spans="2:21" s="12" customFormat="1" ht="30.75" thickBot="1" x14ac:dyDescent="0.3">
      <c r="B11" s="25" t="s">
        <v>3</v>
      </c>
      <c r="C11" s="25" t="s">
        <v>5</v>
      </c>
      <c r="D11" s="25" t="s">
        <v>4</v>
      </c>
      <c r="E11" s="25" t="s">
        <v>8</v>
      </c>
      <c r="F11" s="25" t="s">
        <v>7</v>
      </c>
      <c r="G11" s="25" t="s">
        <v>11</v>
      </c>
      <c r="I11" s="26" t="s">
        <v>15</v>
      </c>
      <c r="J11" s="27" t="s">
        <v>16</v>
      </c>
      <c r="K11" s="28" t="s">
        <v>23</v>
      </c>
      <c r="L11" s="29" t="s">
        <v>24</v>
      </c>
      <c r="M11" s="30" t="s">
        <v>60</v>
      </c>
      <c r="N11" s="31" t="s">
        <v>64</v>
      </c>
      <c r="P11" s="15" t="s">
        <v>3</v>
      </c>
      <c r="Q11" s="25" t="s">
        <v>5</v>
      </c>
      <c r="R11" s="25" t="s">
        <v>4</v>
      </c>
      <c r="S11" s="25" t="s">
        <v>8</v>
      </c>
      <c r="T11" s="25" t="s">
        <v>7</v>
      </c>
      <c r="U11" s="25" t="s">
        <v>11</v>
      </c>
    </row>
    <row r="12" spans="2:21" s="12" customFormat="1" x14ac:dyDescent="0.25">
      <c r="B12" s="15">
        <v>1</v>
      </c>
      <c r="C12" s="96">
        <f>IF(FMX!D12&lt;L7,0,IF(FMX!D12&lt;=M7,FMX!D12+50,IF(FMX!D12&lt;=C3,618,IF(FMX!D12&lt;=C4,1236,IF(FMX!D12&lt;=C5,1854,0)))))</f>
        <v>0</v>
      </c>
      <c r="D12" s="96">
        <f>IF(FMX!C12&lt;N4,0,IF(FMX!C12&lt;=D2,684,IF(FMX!C12&lt;=E2,1368,IF(FMX!C12&lt;=F2,2052,IF(FMX!C12&lt;=G2,2736,IF(FMX!C12&lt;=H2,3420,IF(FMX!C12&lt;=I2,4100,0)))))))</f>
        <v>0</v>
      </c>
      <c r="E12" s="96">
        <f t="shared" ref="E12:E21" si="0">(C12*D12)/1000000</f>
        <v>0</v>
      </c>
      <c r="F12" s="96">
        <f t="shared" ref="F12:F21" si="1">(C12+D12)*2/1000</f>
        <v>0</v>
      </c>
      <c r="G12" s="32">
        <f>IF(FMX!C8=B25,B28,IF(FMX!C8=C25,C28,IF(FMX!C8=D25,D28,IF(FMX!C8=E25,E28,IF(FMX!C8=F25,F28,IF(FMX!C8=G25,G28,0))))))</f>
        <v>105</v>
      </c>
      <c r="I12" s="33">
        <f>IF(FMX!C8=B25,S12,IF(FMX!C8=C25,E12,IF(FMX!C8=D25,E12,IF(FMX!C8=E25,E12,IF(FMX!C8=F25,S12,IF(FMX!C8=G25,S12,0))))))</f>
        <v>0</v>
      </c>
      <c r="J12" s="34">
        <f>IF(FMX!C8=B25,U12,IF(FMX!C8=C25,G12,IF(FMX!C8=D25,G12,IF(FMX!C8=E25,G12,IF(FMX!C8=F25,U12,IF(FMX!C8=G25,U12,0))))))</f>
        <v>105</v>
      </c>
      <c r="K12" s="35">
        <f>I12*J12</f>
        <v>0</v>
      </c>
      <c r="L12" s="36">
        <f>P35</f>
        <v>0</v>
      </c>
      <c r="M12" s="36">
        <f>P44</f>
        <v>0</v>
      </c>
      <c r="N12" s="102">
        <f>L53</f>
        <v>0</v>
      </c>
      <c r="P12" s="95">
        <v>1</v>
      </c>
      <c r="Q12" s="96">
        <f>IF(FMX!D12&lt;L7,0,IF(FMX!D12&lt;=M7,FMX!D12+50,IF(FMX!D12&lt;=C6,650,IF(FMX!D12&lt;=C7,1300,0))))</f>
        <v>0</v>
      </c>
      <c r="R12" s="96">
        <f>IF(FMX!C12&lt;N4,0,IF(FMX!C12&lt;=D2,684,IF(FMX!C12&lt;=E2,1368,IF(FMX!C12&lt;=F2,2052,IF(FMX!C12&lt;=G2,2736,IF(FMX!C12&lt;=H2,3420,IF(FMX!C12&lt;=I2,4100,0)))))))</f>
        <v>0</v>
      </c>
      <c r="S12" s="96">
        <f>(Q12*R12)/1000000</f>
        <v>0</v>
      </c>
      <c r="T12" s="96">
        <f>(Q12+R12)*2/1000</f>
        <v>0</v>
      </c>
      <c r="U12" s="37">
        <f>IF(FMX!C8=B25,B28,IF(FMX!C8=C25,C28,IF(FMX!C8=D25,D28,IF(FMX!C8=E25,E28,IF(FMX!C8=F25,F28,IF(FMX!C8=G25,G28,0))))))</f>
        <v>105</v>
      </c>
    </row>
    <row r="13" spans="2:21" s="12" customFormat="1" x14ac:dyDescent="0.25">
      <c r="B13" s="15">
        <v>2</v>
      </c>
      <c r="C13" s="96">
        <f>IF(FMX!D13&lt;L7,0,IF(FMX!D13&lt;=M7,FMX!D13+50,IF(FMX!D13&lt;=C3,618,IF(FMX!D13&lt;=C4,1236,IF(FMX!D13&lt;=C5,1854,0)))))</f>
        <v>0</v>
      </c>
      <c r="D13" s="96">
        <f>IF(FMX!C13&lt;N4,0,IF(FMX!C13&lt;=D2,684,IF(FMX!C13&lt;=E2,1368,IF(FMX!C13&lt;=F2,2052,IF(FMX!C13&lt;=G2,2736,IF(FMX!C13&lt;=H2,3420,IF(FMX!C13&lt;=I2,4100,0)))))))</f>
        <v>0</v>
      </c>
      <c r="E13" s="96">
        <f t="shared" si="0"/>
        <v>0</v>
      </c>
      <c r="F13" s="96">
        <f t="shared" si="1"/>
        <v>0</v>
      </c>
      <c r="G13" s="37">
        <f>IF(FMX!C8=B25,B28,IF(FMX!C8=C25,C28,IF(FMX!C8=D25,D28,IF(FMX!C8=E25,E28,IF(FMX!C8=F25,F28,IF(FMX!C8=G25,G28,0))))))</f>
        <v>105</v>
      </c>
      <c r="I13" s="38">
        <f>IF(FMX!C8=B25,S13,IF(FMX!C8=C25,E13,IF(FMX!C8=D25,E13,IF(FMX!C8=E25,E13,IF(FMX!C8=F25,S13,IF(FMX!C8=G25,S13,0))))))</f>
        <v>0</v>
      </c>
      <c r="J13" s="37">
        <f>IF(FMX!C8=B25,U13,IF(FMX!C8=C25,G13,IF(FMX!C8=D25,G13,IF(FMX!C8=E25,G13,IF(FMX!C8=F25,U13,IF(FMX!C8=G25,U13,0))))))</f>
        <v>105</v>
      </c>
      <c r="K13" s="39">
        <f t="shared" ref="K13:K21" si="2">I13*J13</f>
        <v>0</v>
      </c>
      <c r="L13" s="40">
        <f t="shared" ref="L13:L16" si="3">P36</f>
        <v>0</v>
      </c>
      <c r="M13" s="40">
        <f>P45</f>
        <v>0</v>
      </c>
      <c r="N13" s="41">
        <f t="shared" ref="N13:N16" si="4">L54</f>
        <v>0</v>
      </c>
      <c r="P13" s="95">
        <v>2</v>
      </c>
      <c r="Q13" s="96">
        <f>IF(FMX!D13&lt;L7,0,IF(FMX!D13&lt;=M7,FMX!D13+50,IF(FMX!D13&lt;=C6,650,IF(FMX!D13&lt;=C7,1300,0))))</f>
        <v>0</v>
      </c>
      <c r="R13" s="96">
        <f>IF(FMX!C13&lt;N4,0,IF(FMX!C13&lt;=D2,684,IF(FMX!C13&lt;=E2,1368,IF(FMX!C13&lt;=F2,2052,IF(FMX!C13&lt;=G2,2736,IF(FMX!C13&lt;=H2,3420,IF(FMX!C13&lt;=I2,4100,0)))))))</f>
        <v>0</v>
      </c>
      <c r="S13" s="96">
        <f>(Q13*R13)/1000000</f>
        <v>0</v>
      </c>
      <c r="T13" s="96">
        <f>(Q13+R13)*2/1000</f>
        <v>0</v>
      </c>
      <c r="U13" s="37">
        <f>IF(FMX!C8=B25,B28,IF(FMX!C8=C25,C28,IF(FMX!C8=D25,D28,IF(FMX!C8=E25,E28,IF(FMX!C8=F25,F28,IF(FMX!C8=G25,G28,0))))))</f>
        <v>105</v>
      </c>
    </row>
    <row r="14" spans="2:21" s="12" customFormat="1" x14ac:dyDescent="0.25">
      <c r="B14" s="15">
        <v>3</v>
      </c>
      <c r="C14" s="96">
        <f>IF(FMX!D14&lt;L7,0,IF(FMX!D14&lt;=M7,FMX!D14+50,IF(FMX!D14&lt;=C3,618,IF(FMX!D14&lt;=C4,1236,IF(FMX!D14&lt;=C5,1854,0)))))</f>
        <v>0</v>
      </c>
      <c r="D14" s="96">
        <f>IF(FMX!C14&lt;N4,0,IF(FMX!C14&lt;=D2,684,IF(FMX!C14&lt;=E2,1368,IF(FMX!C14&lt;=F2,2052,IF(FMX!C14&lt;=G2,2736,IF(FMX!C14&lt;=H2,3420,IF(FMX!C14&lt;=I2,4100,0)))))))</f>
        <v>0</v>
      </c>
      <c r="E14" s="96">
        <f t="shared" si="0"/>
        <v>0</v>
      </c>
      <c r="F14" s="96">
        <f t="shared" si="1"/>
        <v>0</v>
      </c>
      <c r="G14" s="37">
        <f>IF(FMX!C8=B25,B28,IF(FMX!C8=C25,C28,IF(FMX!C8=D25,D28,IF(FMX!C8=E25,E28,IF(FMX!C8=F25,F28,IF(FMX!C8=G25,G28,0))))))</f>
        <v>105</v>
      </c>
      <c r="I14" s="38">
        <f>IF(FMX!C8=B25,S14,IF(FMX!C8=C25,E14,IF(FMX!C8=D25,E14,IF(FMX!C8=E25,E14,IF(FMX!C8=F25,S14,IF(FMX!C8=G25,S14,0))))))</f>
        <v>0</v>
      </c>
      <c r="J14" s="37">
        <f>IF(FMX!C8=B25,U14,IF(FMX!C8=C25,G14,IF(FMX!C8=D25,G14,IF(FMX!C8=E25,G14,IF(FMX!C8=F25,U14,IF(FMX!C8=G25,U14,0))))))</f>
        <v>105</v>
      </c>
      <c r="K14" s="39">
        <f t="shared" si="2"/>
        <v>0</v>
      </c>
      <c r="L14" s="40">
        <f t="shared" si="3"/>
        <v>0</v>
      </c>
      <c r="M14" s="40">
        <f>P46</f>
        <v>0</v>
      </c>
      <c r="N14" s="41">
        <f t="shared" si="4"/>
        <v>0</v>
      </c>
      <c r="P14" s="95">
        <v>3</v>
      </c>
      <c r="Q14" s="96">
        <f>IF(FMX!D14&lt;L7,0,IF(FMX!D14&lt;=M7,FMX!D14+50,IF(FMX!D14&lt;=C6,650,IF(FMX!D14&lt;=C7,1300,0))))</f>
        <v>0</v>
      </c>
      <c r="R14" s="96">
        <f>IF(FMX!C14&lt;N4,0,IF(FMX!C14&lt;=D2,684,IF(FMX!C14&lt;=E2,1368,IF(FMX!C14&lt;=F2,2052,IF(FMX!C14&lt;=G2,2736,IF(FMX!C14&lt;=H2,3420,IF(FMX!C14&lt;=I2,4100,0)))))))</f>
        <v>0</v>
      </c>
      <c r="S14" s="96">
        <f>(Q14*R14)/1000000</f>
        <v>0</v>
      </c>
      <c r="T14" s="96">
        <f>(Q14+R14)*2/1000</f>
        <v>0</v>
      </c>
      <c r="U14" s="37">
        <f>IF(FMX!C8=B25,B28,IF(FMX!C8=C25,C28,IF(FMX!C8=D25,D28,IF(FMX!C8=E25,E28,IF(FMX!C8=F25,F28,IF(FMX!C8=G25,G28,0))))))</f>
        <v>105</v>
      </c>
    </row>
    <row r="15" spans="2:21" s="12" customFormat="1" x14ac:dyDescent="0.25">
      <c r="B15" s="15">
        <v>4</v>
      </c>
      <c r="C15" s="96">
        <f>IF(FMX!D15&lt;L7,0,IF(FMX!D15&lt;=M7,FMX!D15+50,IF(FMX!D15&lt;=C3,618,IF(FMX!D15&lt;=C4,1236,IF(FMX!D15&lt;=C5,1854,0)))))</f>
        <v>0</v>
      </c>
      <c r="D15" s="96">
        <f>IF(FMX!C15&lt;N4,0,IF(FMX!C15&lt;=D2,684,IF(FMX!C15&lt;=E2,1368,IF(FMX!C15&lt;=F2,2052,IF(FMX!C15&lt;=G2,2736,IF(FMX!C15&lt;=H2,3420,IF(FMX!C15&lt;=I2,4100,0)))))))</f>
        <v>0</v>
      </c>
      <c r="E15" s="96">
        <f t="shared" si="0"/>
        <v>0</v>
      </c>
      <c r="F15" s="96">
        <f t="shared" si="1"/>
        <v>0</v>
      </c>
      <c r="G15" s="37">
        <f>IF(FMX!C8=B25,B28,IF(FMX!C8=C25,C28,IF(FMX!C8=D25,D28,IF(FMX!C8=E25,E28,IF(FMX!C8=F25,F28,IF(FMX!C8=G25,G28,0))))))</f>
        <v>105</v>
      </c>
      <c r="I15" s="38">
        <f>IF(FMX!C8=B25,S15,IF(FMX!C8=C25,E15,IF(FMX!C8=D25,E15,IF(FMX!C8=E25,E15,IF(FMX!C8=F25,S15,IF(FMX!C8=G25,S15,0))))))</f>
        <v>0</v>
      </c>
      <c r="J15" s="37">
        <f>IF(FMX!C8=B25,U15,IF(FMX!C8=C25,G15,IF(FMX!C8=D25,G15,IF(FMX!C8=E25,G15,IF(FMX!C8=F25,U15,IF(FMX!C8=G25,U15,0))))))</f>
        <v>105</v>
      </c>
      <c r="K15" s="39">
        <f t="shared" si="2"/>
        <v>0</v>
      </c>
      <c r="L15" s="40">
        <f t="shared" si="3"/>
        <v>0</v>
      </c>
      <c r="M15" s="40">
        <f>P47</f>
        <v>0</v>
      </c>
      <c r="N15" s="41">
        <f t="shared" si="4"/>
        <v>0</v>
      </c>
      <c r="P15" s="95">
        <v>4</v>
      </c>
      <c r="Q15" s="96">
        <f>IF(FMX!D15&lt;L7,0,IF(FMX!D15&lt;=M7,FMX!D15+50,IF(FMX!D15&lt;=C6,650,IF(FMX!D15&lt;=C7,1300,0))))</f>
        <v>0</v>
      </c>
      <c r="R15" s="96">
        <f>IF(FMX!C15&lt;N4,0,IF(FMX!C15&lt;=D2,684,IF(FMX!C15&lt;=E2,1368,IF(FMX!C15&lt;=F2,2052,IF(FMX!C15&lt;=G2,2736,IF(FMX!C15&lt;=H2,3420,IF(FMX!C15&lt;=I2,4100,0)))))))</f>
        <v>0</v>
      </c>
      <c r="S15" s="96">
        <f>(Q15*R15)/1000000</f>
        <v>0</v>
      </c>
      <c r="T15" s="96">
        <f>(Q15+R15)*2/1000</f>
        <v>0</v>
      </c>
      <c r="U15" s="37">
        <f>IF(FMX!C8=B25,B28,IF(FMX!C8=C25,C28,IF(FMX!C8=D25,D28,IF(FMX!C8=E25,E28,IF(FMX!C8=F25,F28,IF(FMX!C8=G25,G28,0))))))</f>
        <v>105</v>
      </c>
    </row>
    <row r="16" spans="2:21" s="12" customFormat="1" x14ac:dyDescent="0.25">
      <c r="B16" s="15">
        <v>5</v>
      </c>
      <c r="C16" s="96">
        <f>IF(FMX!D16&lt;L7,0,IF(FMX!D16&lt;=M7,FMX!D16+50,IF(FMX!D16&lt;=C3,618,IF(FMX!D16&lt;=C4,1236,IF(FMX!D16&lt;=C5,1854,0)))))</f>
        <v>0</v>
      </c>
      <c r="D16" s="96">
        <f>IF(FMX!C16&lt;N4,0,IF(FMX!C16&lt;=D2,684,IF(FMX!C16&lt;=E2,1368,IF(FMX!C16&lt;=F2,2052,IF(FMX!C16&lt;=G2,2736,IF(FMX!C16&lt;=H2,3420,IF(FMX!C16&lt;=I2,4100,0)))))))</f>
        <v>0</v>
      </c>
      <c r="E16" s="96">
        <f t="shared" si="0"/>
        <v>0</v>
      </c>
      <c r="F16" s="96">
        <f t="shared" si="1"/>
        <v>0</v>
      </c>
      <c r="G16" s="37">
        <f>IF(FMX!C8=B25,B28,IF(FMX!C8=C25,C28,IF(FMX!C8=D25,D28,IF(FMX!C8=E25,E28,IF(FMX!C8=F25,F28,IF(FMX!C8=G25,G28,0))))))</f>
        <v>105</v>
      </c>
      <c r="I16" s="97">
        <f>IF(FMX!C8=B25,S16,IF(FMX!C8=C25,E16,IF(FMX!C8=D25,E16,IF(FMX!C8=E25,E16,IF(FMX!C8=F25,S16,IF(FMX!C8=G25,S16,0))))))</f>
        <v>0</v>
      </c>
      <c r="J16" s="98">
        <f>IF(FMX!C8=B25,U16,IF(FMX!C8=C25,G16,IF(FMX!C8=D25,G16,IF(FMX!C8=E25,G16,IF(FMX!C8=F25,U16,IF(FMX!C8=G25,U16,0))))))</f>
        <v>105</v>
      </c>
      <c r="K16" s="99">
        <f t="shared" si="2"/>
        <v>0</v>
      </c>
      <c r="L16" s="100">
        <f t="shared" si="3"/>
        <v>0</v>
      </c>
      <c r="M16" s="100">
        <f>P48</f>
        <v>0</v>
      </c>
      <c r="N16" s="101">
        <f t="shared" si="4"/>
        <v>0</v>
      </c>
      <c r="P16" s="95">
        <v>5</v>
      </c>
      <c r="Q16" s="96">
        <f>IF(FMX!D16&lt;L7,0,IF(FMX!D16&lt;=M7,FMX!D16+50,IF(FMX!D16&lt;=C6,650,IF(FMX!D16&lt;=C7,1300,0))))</f>
        <v>0</v>
      </c>
      <c r="R16" s="96">
        <f>IF(FMX!C16&lt;N4,0,IF(FMX!C16&lt;=D2,684,IF(FMX!C16&lt;=E2,1368,IF(FMX!C16&lt;=F2,2052,IF(FMX!C16&lt;=G2,2736,IF(FMX!C16&lt;=H2,3420,IF(FMX!C16&lt;=I2,4100,0)))))))</f>
        <v>0</v>
      </c>
      <c r="S16" s="96">
        <f>(Q16*R16)/1000000</f>
        <v>0</v>
      </c>
      <c r="T16" s="96">
        <f>(Q16+R16)*2/1000</f>
        <v>0</v>
      </c>
      <c r="U16" s="37">
        <f>IF(FMX!C8=B25,B28,IF(FMX!C8=C25,C28,IF(FMX!C8=D25,D28,IF(FMX!C8=E25,E28,IF(FMX!C8=F25,F28,IF(FMX!C8=G25,G28,0))))))</f>
        <v>105</v>
      </c>
    </row>
    <row r="17" spans="1:21" s="12" customFormat="1" x14ac:dyDescent="0.25">
      <c r="B17" s="95">
        <v>6</v>
      </c>
      <c r="C17" s="96">
        <f>IF(FMX!D17&lt;L7,0,IF(FMX!D17&lt;=M7,FMX!D17+50,IF(FMX!D17&lt;=C3,618,IF(FMX!D17&lt;=C4,1236,IF(FMX!D17&lt;=C5,1854,0)))))</f>
        <v>0</v>
      </c>
      <c r="D17" s="96">
        <f>IF(FMX!C17&lt;N4,0,IF(FMX!C17&lt;=D2,684,IF(FMX!C17&lt;=E2,1368,IF(FMX!C17&lt;=F2,2052,IF(FMX!C17&lt;=G2,2736,IF(FMX!C17&lt;=H2,3420,IF(FMX!C17&lt;=I2,4100,0)))))))</f>
        <v>0</v>
      </c>
      <c r="E17" s="96">
        <f t="shared" si="0"/>
        <v>0</v>
      </c>
      <c r="F17" s="96">
        <f t="shared" si="1"/>
        <v>0</v>
      </c>
      <c r="G17" s="37">
        <f>IF(FMX!C8=B25,B28,IF(FMX!C8=C25,C28,IF(FMX!C8=D25,D28,IF(FMX!C8=E25,E28,IF(FMX!C8=F25,F28,IF(FMX!C8=G25,G28,0))))))</f>
        <v>105</v>
      </c>
      <c r="I17" s="38">
        <f>IF(FMX!C8=B25,S17,IF(FMX!C8=C25,E17,IF(FMX!C8=D25,E17,IF(FMX!C8=E25,E17,IF(FMX!C8=F25,S17,IF(FMX!C8=G25,S17,0))))))</f>
        <v>0</v>
      </c>
      <c r="J17" s="37">
        <f>IF(FMX!C8=B25,U17,IF(FMX!C8=C25,G17,IF(FMX!C8=D25,G17,IF(FMX!C8=E25,G17,IF(FMX!C8=F25,U17,IF(FMX!C8=G25,U17,0))))))</f>
        <v>105</v>
      </c>
      <c r="K17" s="39">
        <f t="shared" si="2"/>
        <v>0</v>
      </c>
      <c r="L17" s="40"/>
      <c r="M17" s="40"/>
      <c r="N17" s="41"/>
      <c r="P17" s="95">
        <v>6</v>
      </c>
      <c r="Q17" s="96">
        <f>IF(FMX!D17&lt;L7,0,IF(FMX!D17&lt;=M7,FMX!D17+50,IF(FMX!D17&lt;=C6,650,IF(FMX!D17&lt;=C7,1300,0))))</f>
        <v>0</v>
      </c>
      <c r="R17" s="96">
        <f>IF(FMX!C17&lt;N4,0,IF(FMX!C17&lt;=D2,684,IF(FMX!C17&lt;=E2,1368,IF(FMX!C17&lt;=F2,2052,IF(FMX!C17&lt;=G2,2736,IF(FMX!C17&lt;=H2,3420,IF(FMX!C17&lt;=I2,4100,0)))))))</f>
        <v>0</v>
      </c>
      <c r="S17" s="96">
        <f t="shared" ref="S17:S21" si="5">(Q17*R17)/1000000</f>
        <v>0</v>
      </c>
      <c r="T17" s="96">
        <f t="shared" ref="T17:T21" si="6">(Q17+R17)*2/1000</f>
        <v>0</v>
      </c>
      <c r="U17" s="37">
        <f>IF(FMX!C8=B25,B28,IF(FMX!C8=C25,C28,IF(FMX!C8=D25,D28,IF(FMX!C8=E25,E28,IF(FMX!C8=F25,F28,IF(FMX!C8=G25,G28,0))))))</f>
        <v>105</v>
      </c>
    </row>
    <row r="18" spans="1:21" s="12" customFormat="1" x14ac:dyDescent="0.25">
      <c r="B18" s="95">
        <v>7</v>
      </c>
      <c r="C18" s="96">
        <f>IF(FMX!D18&lt;L7,0,IF(FMX!D18&lt;=M7,FMX!D18+50,IF(FMX!D18&lt;=C3,618,IF(FMX!D18&lt;=C4,1236,IF(FMX!D18&lt;=C5,1854,0)))))</f>
        <v>0</v>
      </c>
      <c r="D18" s="96">
        <f>IF(FMX!C18&lt;N4,0,IF(FMX!C18&lt;=D2,684,IF(FMX!C18&lt;=E2,1368,IF(FMX!C18&lt;=F2,2052,IF(FMX!C18&lt;=G2,2736,IF(FMX!C18&lt;=H2,3420,IF(FMX!C18&lt;=I2,4100,0)))))))</f>
        <v>0</v>
      </c>
      <c r="E18" s="96">
        <f t="shared" si="0"/>
        <v>0</v>
      </c>
      <c r="F18" s="96">
        <f t="shared" si="1"/>
        <v>0</v>
      </c>
      <c r="G18" s="37">
        <f>IF(FMX!C8=B25,B28,IF(FMX!C8=C25,C28,IF(FMX!C8=D25,D28,IF(FMX!C8=E25,E28,IF(FMX!C8=F25,F28,IF(FMX!C8=G25,G28,0))))))</f>
        <v>105</v>
      </c>
      <c r="I18" s="38">
        <f>IF(FMX!C8=B25,S18,IF(FMX!C8=C25,E18,IF(FMX!C8=D25,E18,IF(FMX!C8=E25,E18,IF(FMX!C8=F25,S18,IF(FMX!C8=G25,S18,0))))))</f>
        <v>0</v>
      </c>
      <c r="J18" s="37">
        <f>IF(FMX!C8=B25,U18,IF(FMX!C8=C25,G18,IF(FMX!C8=D25,G18,IF(FMX!C8=E25,G18,IF(FMX!C8=F25,U18,IF(FMX!C8=G25,U18,0))))))</f>
        <v>105</v>
      </c>
      <c r="K18" s="39">
        <f t="shared" si="2"/>
        <v>0</v>
      </c>
      <c r="L18" s="40"/>
      <c r="M18" s="40"/>
      <c r="N18" s="41"/>
      <c r="P18" s="95">
        <v>7</v>
      </c>
      <c r="Q18" s="96">
        <f>IF(FMX!D18&lt;L7,0,IF(FMX!D18&lt;=M7,FMX!D18+50,IF(FMX!D18&lt;=C6,650,IF(FMX!D18&lt;=C7,1300,0))))</f>
        <v>0</v>
      </c>
      <c r="R18" s="96">
        <f>IF(FMX!C18&lt;N4,0,IF(FMX!C18&lt;=D2,684,IF(FMX!C18&lt;=E2,1368,IF(FMX!C18&lt;=F2,2052,IF(FMX!C18&lt;=G2,2736,IF(FMX!C18&lt;=H2,3420,IF(FMX!C18&lt;=I2,4100,0)))))))</f>
        <v>0</v>
      </c>
      <c r="S18" s="96">
        <f t="shared" si="5"/>
        <v>0</v>
      </c>
      <c r="T18" s="96">
        <f t="shared" si="6"/>
        <v>0</v>
      </c>
      <c r="U18" s="37">
        <f>IF(FMX!C8=B25,B28,IF(FMX!C8=C25,C28,IF(FMX!C8=D25,D28,IF(FMX!C8=E25,E28,IF(FMX!C8=F25,F28,IF(FMX!C8=G25,G28,0))))))</f>
        <v>105</v>
      </c>
    </row>
    <row r="19" spans="1:21" s="12" customFormat="1" x14ac:dyDescent="0.25">
      <c r="B19" s="95">
        <v>8</v>
      </c>
      <c r="C19" s="96">
        <f>IF(FMX!D19&lt;L7,0,IF(FMX!D19&lt;=M7,FMX!D19+50,IF(FMX!D19&lt;=C3,618,IF(FMX!D19&lt;=C4,1236,IF(FMX!D19&lt;=C5,1854,0)))))</f>
        <v>0</v>
      </c>
      <c r="D19" s="96">
        <f>IF(FMX!C19&lt;N4,0,IF(FMX!C19&lt;=D2,684,IF(FMX!C19&lt;=E2,1368,IF(FMX!C19&lt;=F2,2052,IF(FMX!C19&lt;=G2,2736,IF(FMX!C19&lt;=H2,3420,IF(FMX!C19&lt;=I2,4100,0)))))))</f>
        <v>0</v>
      </c>
      <c r="E19" s="96">
        <f t="shared" si="0"/>
        <v>0</v>
      </c>
      <c r="F19" s="96">
        <f t="shared" si="1"/>
        <v>0</v>
      </c>
      <c r="G19" s="37">
        <f>IF(FMX!C8=B25,B28,IF(FMX!C8=C25,C28,IF(FMX!C8=D25,D28,IF(FMX!C8=E25,E28,IF(FMX!C8=F25,F28,IF(FMX!C8=G25,G28,0))))))</f>
        <v>105</v>
      </c>
      <c r="I19" s="38">
        <f>IF(FMX!C8=B25,S19,IF(FMX!C8=C25,E19,IF(FMX!C8=D25,E19,IF(FMX!C8=E25,E19,IF(FMX!C8=F25,S19,IF(FMX!C8=G25,S19,0))))))</f>
        <v>0</v>
      </c>
      <c r="J19" s="37">
        <f>IF(FMX!C8=B25,U19,IF(FMX!C8=C25,G19,IF(FMX!C8=D25,G19,IF(FMX!C8=E25,G19,IF(FMX!C8=F25,U19,IF(FMX!C8=G25,U19,0))))))</f>
        <v>105</v>
      </c>
      <c r="K19" s="39">
        <f t="shared" si="2"/>
        <v>0</v>
      </c>
      <c r="L19" s="40"/>
      <c r="M19" s="40"/>
      <c r="N19" s="41"/>
      <c r="P19" s="95">
        <v>8</v>
      </c>
      <c r="Q19" s="96">
        <f>IF(FMX!D19&lt;L7,0,IF(FMX!D19&lt;=M7,FMX!D19+50,IF(FMX!D19&lt;=C6,650,IF(FMX!D19&lt;=C7,1300,0))))</f>
        <v>0</v>
      </c>
      <c r="R19" s="96">
        <f>IF(FMX!C19&lt;N4,0,IF(FMX!C19&lt;=D2,684,IF(FMX!C19&lt;=E2,1368,IF(FMX!C19&lt;=F2,2052,IF(FMX!C19&lt;=G2,2736,IF(FMX!C19&lt;=H2,3420,IF(FMX!C19&lt;=I2,4100,0)))))))</f>
        <v>0</v>
      </c>
      <c r="S19" s="96">
        <f t="shared" si="5"/>
        <v>0</v>
      </c>
      <c r="T19" s="96">
        <f t="shared" si="6"/>
        <v>0</v>
      </c>
      <c r="U19" s="37">
        <f>IF(FMX!C8=B25,B28,IF(FMX!C8=C25,C28,IF(FMX!C8=D25,D28,IF(FMX!C8=E25,E28,IF(FMX!C8=F25,F28,IF(FMX!C8=G25,G28,0))))))</f>
        <v>105</v>
      </c>
    </row>
    <row r="20" spans="1:21" s="12" customFormat="1" x14ac:dyDescent="0.25">
      <c r="B20" s="95">
        <v>9</v>
      </c>
      <c r="C20" s="96">
        <f>IF(FMX!D20&lt;L7,0,IF(FMX!D20&lt;=M7,FMX!D20+50,IF(FMX!D20&lt;=C3,618,IF(FMX!D20&lt;=C4,1236,IF(FMX!D20&lt;=C5,1854,0)))))</f>
        <v>0</v>
      </c>
      <c r="D20" s="96">
        <f>IF(FMX!C20&lt;N4,0,IF(FMX!C20&lt;=D2,684,IF(FMX!C20&lt;=E2,1368,IF(FMX!C20&lt;=F2,2052,IF(FMX!C20&lt;=G2,2736,IF(FMX!C20&lt;=H2,3420,IF(FMX!C20&lt;=I2,4100,0)))))))</f>
        <v>0</v>
      </c>
      <c r="E20" s="96">
        <f t="shared" si="0"/>
        <v>0</v>
      </c>
      <c r="F20" s="96">
        <f t="shared" si="1"/>
        <v>0</v>
      </c>
      <c r="G20" s="37">
        <f>IF(FMX!C8=B25,B28,IF(FMX!C8=C25,C28,IF(FMX!C8=D25,D28,IF(FMX!C8=E25,E28,IF(FMX!C8=F25,F28,IF(FMX!C8=G25,G28,0))))))</f>
        <v>105</v>
      </c>
      <c r="I20" s="38">
        <f>IF(FMX!C8=B25,S20,IF(FMX!C8=C25,E20,IF(FMX!C8=D25,E20,IF(FMX!C8=E25,E20,IF(FMX!C8=F25,S20,IF(FMX!C8=G25,S20,0))))))</f>
        <v>0</v>
      </c>
      <c r="J20" s="37">
        <f>IF(FMX!C8=B25,U20,IF(FMX!C8=C25,G20,IF(FMX!C8=D25,G20,IF(FMX!C8=E25,G20,IF(FMX!C8=F25,U20,IF(FMX!C8=G25,U20,0))))))</f>
        <v>105</v>
      </c>
      <c r="K20" s="39">
        <f t="shared" si="2"/>
        <v>0</v>
      </c>
      <c r="L20" s="40"/>
      <c r="M20" s="40"/>
      <c r="N20" s="41"/>
      <c r="P20" s="95">
        <v>9</v>
      </c>
      <c r="Q20" s="96">
        <f>IF(FMX!D20&lt;L7,0,IF(FMX!D20&lt;=M7,FMX!D20+50,IF(FMX!D20&lt;=C6,650,IF(FMX!D20&lt;=C7,1300,0))))</f>
        <v>0</v>
      </c>
      <c r="R20" s="96">
        <f>IF(FMX!C20&lt;N4,0,IF(FMX!C20&lt;=D2,684,IF(FMX!C20&lt;=E2,1368,IF(FMX!C20&lt;=F2,2052,IF(FMX!C20&lt;=G2,2736,IF(FMX!C20&lt;=H2,3420,IF(FMX!C20&lt;=I2,4100,0)))))))</f>
        <v>0</v>
      </c>
      <c r="S20" s="96">
        <f t="shared" si="5"/>
        <v>0</v>
      </c>
      <c r="T20" s="96">
        <f t="shared" si="6"/>
        <v>0</v>
      </c>
      <c r="U20" s="37">
        <f>IF(FMX!C8=B25,B28,IF(FMX!C8=C25,C28,IF(FMX!C8=D25,D28,IF(FMX!C8=E25,E28,IF(FMX!C8=F25,F28,IF(FMX!C8=G25,G28,0))))))</f>
        <v>105</v>
      </c>
    </row>
    <row r="21" spans="1:21" s="12" customFormat="1" ht="15.75" thickBot="1" x14ac:dyDescent="0.3">
      <c r="B21" s="95">
        <v>10</v>
      </c>
      <c r="C21" s="96">
        <f>IF(FMX!D21&lt;L7,0,IF(FMX!D21&lt;=M7,FMX!D21+50,IF(FMX!D21&lt;=C3,618,IF(FMX!D21&lt;=C4,1236,IF(FMX!D21&lt;=C5,1854,0)))))</f>
        <v>0</v>
      </c>
      <c r="D21" s="96">
        <f>IF(FMX!C21&lt;N4,0,IF(FMX!C21&lt;=D2,684,IF(FMX!C21&lt;=E2,1368,IF(FMX!C21&lt;=F2,2052,IF(FMX!C21&lt;=G2,2736,IF(FMX!C21&lt;=H2,3420,IF(FMX!C21&lt;=I2,4100,0)))))))</f>
        <v>0</v>
      </c>
      <c r="E21" s="96">
        <f t="shared" si="0"/>
        <v>0</v>
      </c>
      <c r="F21" s="96">
        <f t="shared" si="1"/>
        <v>0</v>
      </c>
      <c r="G21" s="37">
        <f>IF(FMX!C8=B25,B28,IF(FMX!C8=C25,C28,IF(FMX!C8=D25,D28,IF(FMX!C8=E25,E28,IF(FMX!C8=F25,F28,IF(FMX!C8=G25,G28,0))))))</f>
        <v>105</v>
      </c>
      <c r="I21" s="42">
        <f>IF(FMX!C8=B25,S21,IF(FMX!C8=C25,E21,IF(FMX!C8=D25,E21,IF(FMX!C8=E25,E21,IF(FMX!C8=F25,S21,IF(FMX!C8=G25,S21,0))))))</f>
        <v>0</v>
      </c>
      <c r="J21" s="43">
        <f>IF(FMX!C8=B25,U21,IF(FMX!C8=C25,G21,IF(FMX!C8=D25,G21,IF(FMX!C8=E25,G21,IF(FMX!C8=F25,U21,IF(FMX!C8=G25,U21,0))))))</f>
        <v>105</v>
      </c>
      <c r="K21" s="44">
        <f t="shared" si="2"/>
        <v>0</v>
      </c>
      <c r="L21" s="45"/>
      <c r="M21" s="45"/>
      <c r="N21" s="46"/>
      <c r="P21" s="95">
        <v>10</v>
      </c>
      <c r="Q21" s="96">
        <f>IF(FMX!D21&lt;L7,0,IF(FMX!D21&lt;=M7,FMX!D21+50,IF(FMX!D21&lt;=C6,650,IF(FMX!D21&lt;=C7,1300,0))))</f>
        <v>0</v>
      </c>
      <c r="R21" s="96">
        <f>IF(FMX!C21&lt;N4,0,IF(FMX!C21&lt;=D2,684,IF(FMX!C21&lt;=E2,1368,IF(FMX!C21&lt;=F2,2052,IF(FMX!C21&lt;=G2,2736,IF(FMX!C21&lt;=H2,3420,IF(FMX!C21&lt;=I2,4100,0)))))))</f>
        <v>0</v>
      </c>
      <c r="S21" s="96">
        <f t="shared" si="5"/>
        <v>0</v>
      </c>
      <c r="T21" s="96">
        <f t="shared" si="6"/>
        <v>0</v>
      </c>
      <c r="U21" s="37">
        <f>IF(FMX!C8=B25,B28,IF(FMX!C8=C25,C28,IF(FMX!C8=D25,D28,IF(FMX!C8=E25,E28,IF(FMX!C8=F25,F28,IF(FMX!C8=G25,G28,0))))))</f>
        <v>105</v>
      </c>
    </row>
    <row r="22" spans="1:21" s="12" customFormat="1" x14ac:dyDescent="0.25"/>
    <row r="23" spans="1:21" s="12" customFormat="1" ht="15.75" thickBot="1" x14ac:dyDescent="0.3"/>
    <row r="24" spans="1:21" s="12" customFormat="1" ht="60.75" customHeight="1" thickBot="1" x14ac:dyDescent="0.3">
      <c r="A24" s="47"/>
      <c r="B24" s="48" t="s">
        <v>56</v>
      </c>
      <c r="C24" s="48" t="s">
        <v>73</v>
      </c>
      <c r="D24" s="48"/>
      <c r="E24" s="48"/>
      <c r="F24" s="48"/>
      <c r="G24" s="48" t="s">
        <v>12</v>
      </c>
      <c r="L24" s="49"/>
      <c r="N24" s="50" t="s">
        <v>63</v>
      </c>
      <c r="O24" s="51" t="s">
        <v>65</v>
      </c>
    </row>
    <row r="25" spans="1:21" s="1" customFormat="1" ht="84.75" thickBot="1" x14ac:dyDescent="0.3">
      <c r="A25" s="52"/>
      <c r="B25" s="107" t="s">
        <v>66</v>
      </c>
      <c r="C25" s="107" t="s">
        <v>67</v>
      </c>
      <c r="D25" s="107" t="s">
        <v>68</v>
      </c>
      <c r="E25" s="107" t="s">
        <v>69</v>
      </c>
      <c r="F25" s="107" t="s">
        <v>70</v>
      </c>
      <c r="G25" s="107" t="s">
        <v>71</v>
      </c>
      <c r="L25" s="53"/>
      <c r="M25" s="54"/>
      <c r="N25" s="55">
        <v>12</v>
      </c>
      <c r="O25" s="56">
        <v>1.6</v>
      </c>
    </row>
    <row r="26" spans="1:21" s="1" customFormat="1" ht="56.25" x14ac:dyDescent="0.25">
      <c r="A26" s="52"/>
      <c r="B26" s="57" t="s">
        <v>89</v>
      </c>
      <c r="C26" s="57" t="s">
        <v>1</v>
      </c>
      <c r="D26" s="57" t="s">
        <v>2</v>
      </c>
      <c r="E26" s="57" t="s">
        <v>118</v>
      </c>
      <c r="F26" s="57" t="s">
        <v>9</v>
      </c>
      <c r="G26" s="57" t="s">
        <v>10</v>
      </c>
      <c r="L26" s="58"/>
    </row>
    <row r="27" spans="1:21" s="1" customFormat="1" x14ac:dyDescent="0.25">
      <c r="A27" s="59"/>
      <c r="B27" s="60" t="s">
        <v>26</v>
      </c>
      <c r="C27" s="60" t="s">
        <v>27</v>
      </c>
      <c r="D27" s="60" t="s">
        <v>27</v>
      </c>
      <c r="E27" s="60" t="s">
        <v>27</v>
      </c>
      <c r="F27" s="60" t="s">
        <v>26</v>
      </c>
      <c r="G27" s="60" t="s">
        <v>26</v>
      </c>
      <c r="L27" s="58"/>
    </row>
    <row r="28" spans="1:21" s="12" customFormat="1" ht="15.75" x14ac:dyDescent="0.25">
      <c r="B28" s="61">
        <v>200</v>
      </c>
      <c r="C28" s="61">
        <v>228</v>
      </c>
      <c r="D28" s="61">
        <v>105</v>
      </c>
      <c r="E28" s="61">
        <v>109</v>
      </c>
      <c r="F28" s="61">
        <v>137</v>
      </c>
      <c r="G28" s="61">
        <v>166</v>
      </c>
    </row>
    <row r="29" spans="1:21" s="12" customFormat="1" x14ac:dyDescent="0.25">
      <c r="B29" s="232" t="s">
        <v>17</v>
      </c>
      <c r="C29" s="232"/>
      <c r="D29" s="232"/>
      <c r="E29" s="232"/>
      <c r="F29" s="232"/>
      <c r="G29" s="232"/>
    </row>
    <row r="30" spans="1:21" s="12" customFormat="1" x14ac:dyDescent="0.25">
      <c r="B30" s="233" t="s">
        <v>18</v>
      </c>
      <c r="C30" s="233"/>
      <c r="D30" s="233"/>
      <c r="E30" s="233"/>
      <c r="F30" s="233"/>
      <c r="G30" s="233"/>
    </row>
    <row r="31" spans="1:21" s="12" customFormat="1" x14ac:dyDescent="0.25"/>
    <row r="32" spans="1:21" s="12" customFormat="1" ht="15.75" thickBot="1" x14ac:dyDescent="0.3"/>
    <row r="33" spans="2:17" s="12" customFormat="1" ht="15.75" thickBot="1" x14ac:dyDescent="0.3">
      <c r="B33" s="226" t="s">
        <v>30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8"/>
    </row>
    <row r="34" spans="2:17" s="12" customFormat="1" ht="45.75" thickBot="1" x14ac:dyDescent="0.3">
      <c r="B34" s="62" t="s">
        <v>0</v>
      </c>
      <c r="C34" s="63" t="s">
        <v>5</v>
      </c>
      <c r="D34" s="63" t="s">
        <v>4</v>
      </c>
      <c r="E34" s="63" t="s">
        <v>8</v>
      </c>
      <c r="F34" s="63" t="s">
        <v>7</v>
      </c>
      <c r="G34" s="63" t="s">
        <v>11</v>
      </c>
      <c r="H34" s="64" t="s">
        <v>19</v>
      </c>
      <c r="I34" s="62" t="s">
        <v>5</v>
      </c>
      <c r="J34" s="63" t="s">
        <v>4</v>
      </c>
      <c r="K34" s="65" t="s">
        <v>20</v>
      </c>
      <c r="L34" s="63" t="s">
        <v>8</v>
      </c>
      <c r="M34" s="66" t="s">
        <v>7</v>
      </c>
      <c r="N34" s="67" t="s">
        <v>58</v>
      </c>
      <c r="O34" s="63" t="s">
        <v>21</v>
      </c>
      <c r="P34" s="68" t="s">
        <v>22</v>
      </c>
      <c r="Q34" s="69" t="s">
        <v>29</v>
      </c>
    </row>
    <row r="35" spans="2:17" s="12" customFormat="1" x14ac:dyDescent="0.25">
      <c r="B35" s="222" t="str">
        <f>FMX!C8</f>
        <v>Interior COLOUR, FH/FH, черная сердцевина, 12 мм</v>
      </c>
      <c r="C35" s="70" t="str">
        <f>IF(FMX!C8=B25,B27,IF(FMX!C8=C25,C27,IF(FMX!C8=D25,D27,IF(FMX!C8=E25,E27,IF(FMX!C8=F25,F27,IF(FMX!C8=G25,G27,0))))))</f>
        <v>1854</v>
      </c>
      <c r="D35" s="70">
        <v>4100</v>
      </c>
      <c r="E35" s="70">
        <f>(C35*D35)/1000000</f>
        <v>7.6013999999999999</v>
      </c>
      <c r="F35" s="70">
        <f>(C35+D35)*2/1000</f>
        <v>11.907999999999999</v>
      </c>
      <c r="G35" s="71">
        <f>IF(FMX!C8=B25,B28,IF(FMX!C8=C25,C28,IF(FMX!C8=D25,D28,IF(FMX!C8=E25,E28,IF(FMX!C8=F25,F28,IF(FMX!C8=G25,G28,0))))))</f>
        <v>105</v>
      </c>
      <c r="H35" s="35">
        <f>E35*G35</f>
        <v>798.14700000000005</v>
      </c>
      <c r="I35" s="33">
        <f>IF(FMX!D12&lt;L5,0,IF(FMX!D12&lt;=M5,FMX!D12,0))</f>
        <v>0</v>
      </c>
      <c r="J35" s="70">
        <f>IF(FMX!C12&lt;N5,0,IF(FMX!C12&lt;=O5,FMX!C12,0))</f>
        <v>0</v>
      </c>
      <c r="K35" s="72">
        <f>IF(I35=0,0,IF(J35=0,0,(ROUNDDOWN(C35/(I35+6),0))*(ROUNDDOWN(D35/(J35+6),0))))</f>
        <v>0</v>
      </c>
      <c r="L35" s="70">
        <f>(I35*J35)*K35/1000000</f>
        <v>0</v>
      </c>
      <c r="M35" s="73">
        <f>(I35+J35)*2*K35/1000</f>
        <v>0</v>
      </c>
      <c r="N35" s="74">
        <v>12</v>
      </c>
      <c r="O35" s="71">
        <f>M35*N35</f>
        <v>0</v>
      </c>
      <c r="P35" s="75">
        <f>IF(I35=0,0,IF(J35=0,0,IF(K35=0,0,ROUNDUP((H35+O35)/K35,0))))</f>
        <v>0</v>
      </c>
      <c r="Q35" s="76">
        <f>IF(I35=0,0,IF(J35=0,0,ROUNDUP((G35*I35*J35/1000000)+(I35+J35)*2*N35/1000,0)))</f>
        <v>0</v>
      </c>
    </row>
    <row r="36" spans="2:17" s="12" customFormat="1" x14ac:dyDescent="0.25">
      <c r="B36" s="222"/>
      <c r="C36" s="14" t="str">
        <f>IF(FMX!C8=B25,B27,IF(FMX!C8=C25,C27,IF(FMX!C8=D25,D27,IF(FMX!C8=E25,E27,IF(FMX!C8=F25,F27,IF(FMX!C8=G25,G27,0))))))</f>
        <v>1854</v>
      </c>
      <c r="D36" s="14">
        <v>4100</v>
      </c>
      <c r="E36" s="70">
        <f t="shared" ref="E36:E39" si="7">(C36*D36)/1000000</f>
        <v>7.6013999999999999</v>
      </c>
      <c r="F36" s="70">
        <f t="shared" ref="F36:F39" si="8">(C36+D36)*2/1000</f>
        <v>11.907999999999999</v>
      </c>
      <c r="G36" s="71">
        <f>IF(FMX!C8=B25,B28,IF(FMX!C8=C25,C28,IF(FMX!C8=D25,D28,IF(FMX!C8=E25,E28,IF(FMX!C8=F25,F28,IF(FMX!C8=G25,G28,0))))))</f>
        <v>105</v>
      </c>
      <c r="H36" s="35">
        <f t="shared" ref="H36:H39" si="9">E36*G36</f>
        <v>798.14700000000005</v>
      </c>
      <c r="I36" s="38">
        <f>IF(FMX!D13&lt;L5,0,IF(FMX!D13&lt;=M5,FMX!D13,0))</f>
        <v>0</v>
      </c>
      <c r="J36" s="14">
        <f>IF(FMX!C13&lt;N5,0,IF(FMX!C13&lt;=O5,FMX!C13,0))</f>
        <v>0</v>
      </c>
      <c r="K36" s="77">
        <f t="shared" ref="K36:K39" si="10">IF(I36=0,0,IF(J36=0,0,(ROUNDDOWN(C36/(I36+6),0))*(ROUNDDOWN(D36/(J36+6),0))))</f>
        <v>0</v>
      </c>
      <c r="L36" s="14">
        <f t="shared" ref="L36:L39" si="11">(I36*J36)*K36/1000000</f>
        <v>0</v>
      </c>
      <c r="M36" s="78">
        <f t="shared" ref="M36:M39" si="12">(I36+J36)*2*K36/1000</f>
        <v>0</v>
      </c>
      <c r="N36" s="74">
        <v>12</v>
      </c>
      <c r="O36" s="37">
        <f t="shared" ref="O36:O39" si="13">M36*N36</f>
        <v>0</v>
      </c>
      <c r="P36" s="79">
        <f t="shared" ref="P36:P39" si="14">IF(I36=0,0,IF(J36=0,0,IF(K36=0,0,ROUNDUP((H36+O36)/K36,0))))</f>
        <v>0</v>
      </c>
      <c r="Q36" s="80">
        <f t="shared" ref="Q36:Q39" si="15">IF(I36=0,0,IF(J36=0,0,ROUNDUP((G36*I36*J36/1000000)+(I36+J36)*2*N36/1000,0)))</f>
        <v>0</v>
      </c>
    </row>
    <row r="37" spans="2:17" s="12" customFormat="1" x14ac:dyDescent="0.25">
      <c r="B37" s="222"/>
      <c r="C37" s="14" t="str">
        <f>IF(FMX!C8=B25,B27,IF(FMX!C8=C25,C27,IF(FMX!C8=D25,D27,IF(FMX!C8=E25,E27,IF(FMX!C8=F25,F27,IF(FMX!C8=G25,G27,0))))))</f>
        <v>1854</v>
      </c>
      <c r="D37" s="14">
        <v>4100</v>
      </c>
      <c r="E37" s="70">
        <f t="shared" si="7"/>
        <v>7.6013999999999999</v>
      </c>
      <c r="F37" s="70">
        <f t="shared" si="8"/>
        <v>11.907999999999999</v>
      </c>
      <c r="G37" s="71">
        <f>IF(FMX!C8=B25,B28,IF(FMX!C8=C25,C28,IF(FMX!C8=D25,D28,IF(FMX!C8=E25,E28,IF(FMX!C8=F25,F28,IF(FMX!C8=G25,G28,0))))))</f>
        <v>105</v>
      </c>
      <c r="H37" s="35">
        <f t="shared" si="9"/>
        <v>798.14700000000005</v>
      </c>
      <c r="I37" s="38">
        <f>IF(FMX!D14&lt;L5,0,IF(FMX!D14&lt;=M5,FMX!D14,0))</f>
        <v>0</v>
      </c>
      <c r="J37" s="14">
        <f>IF(FMX!C14&lt;N5,0,IF(FMX!C14&lt;=O5,FMX!C14,0))</f>
        <v>0</v>
      </c>
      <c r="K37" s="77">
        <f t="shared" si="10"/>
        <v>0</v>
      </c>
      <c r="L37" s="14">
        <f t="shared" si="11"/>
        <v>0</v>
      </c>
      <c r="M37" s="78">
        <f t="shared" si="12"/>
        <v>0</v>
      </c>
      <c r="N37" s="74">
        <v>12</v>
      </c>
      <c r="O37" s="37">
        <f>M37*N37</f>
        <v>0</v>
      </c>
      <c r="P37" s="79">
        <f t="shared" si="14"/>
        <v>0</v>
      </c>
      <c r="Q37" s="80">
        <f t="shared" si="15"/>
        <v>0</v>
      </c>
    </row>
    <row r="38" spans="2:17" s="12" customFormat="1" x14ac:dyDescent="0.25">
      <c r="B38" s="222"/>
      <c r="C38" s="14" t="str">
        <f>IF(FMX!C8=B25,B27,IF(FMX!C8=C25,C27,IF(FMX!C8=D25,D27,IF(FMX!C8=E25,E27,IF(FMX!C8=F25,F27,IF(FMX!C8=G25,G27,0))))))</f>
        <v>1854</v>
      </c>
      <c r="D38" s="14">
        <v>4100</v>
      </c>
      <c r="E38" s="70">
        <f t="shared" si="7"/>
        <v>7.6013999999999999</v>
      </c>
      <c r="F38" s="70">
        <f t="shared" si="8"/>
        <v>11.907999999999999</v>
      </c>
      <c r="G38" s="71">
        <f>IF(FMX!C8=B25,B28,IF(FMX!C8=C25,C28,IF(FMX!C8=D25,D28,IF(FMX!C8=E25,E28,IF(FMX!C8=F25,F28,IF(FMX!C8=G25,G28,0))))))</f>
        <v>105</v>
      </c>
      <c r="H38" s="35">
        <f t="shared" si="9"/>
        <v>798.14700000000005</v>
      </c>
      <c r="I38" s="38">
        <f>IF(FMX!D15&lt;L5,0,IF(FMX!D15&lt;=M5,FMX!D15,0))</f>
        <v>0</v>
      </c>
      <c r="J38" s="14">
        <f>IF(FMX!C15&lt;N5,0,IF(FMX!C15&lt;=O5,FMX!C15,0))</f>
        <v>0</v>
      </c>
      <c r="K38" s="77">
        <f t="shared" si="10"/>
        <v>0</v>
      </c>
      <c r="L38" s="14">
        <f t="shared" si="11"/>
        <v>0</v>
      </c>
      <c r="M38" s="78">
        <f t="shared" si="12"/>
        <v>0</v>
      </c>
      <c r="N38" s="74">
        <v>12</v>
      </c>
      <c r="O38" s="37">
        <f t="shared" si="13"/>
        <v>0</v>
      </c>
      <c r="P38" s="79">
        <f t="shared" si="14"/>
        <v>0</v>
      </c>
      <c r="Q38" s="80">
        <f t="shared" si="15"/>
        <v>0</v>
      </c>
    </row>
    <row r="39" spans="2:17" s="12" customFormat="1" ht="15.75" thickBot="1" x14ac:dyDescent="0.3">
      <c r="B39" s="223"/>
      <c r="C39" s="81" t="str">
        <f>IF(FMX!C8=B25,B27,IF(FMX!C8=C25,C27,IF(FMX!C8=D25,D27,IF(FMX!C8=E25,E27,IF(FMX!C8=F25,F27,IF(FMX!C8=G25,G27,0))))))</f>
        <v>1854</v>
      </c>
      <c r="D39" s="81">
        <v>4100</v>
      </c>
      <c r="E39" s="82">
        <f t="shared" si="7"/>
        <v>7.6013999999999999</v>
      </c>
      <c r="F39" s="82">
        <f t="shared" si="8"/>
        <v>11.907999999999999</v>
      </c>
      <c r="G39" s="83">
        <f>IF(FMX!C8=B25,B28,IF(FMX!C8=C25,C28,IF(FMX!C8=D25,D28,IF(FMX!C8=E25,E28,IF(FMX!C8=F25,F28,IF(FMX!C8=G25,G28,0))))))</f>
        <v>105</v>
      </c>
      <c r="H39" s="84">
        <f t="shared" si="9"/>
        <v>798.14700000000005</v>
      </c>
      <c r="I39" s="42">
        <f>IF(FMX!D16&lt;L5,0,IF(FMX!D16&lt;=M5,FMX!D16,0))</f>
        <v>0</v>
      </c>
      <c r="J39" s="81">
        <f>IF(FMX!C16&lt;N5,0,IF(FMX!C16&lt;=O5,FMX!C16,0))</f>
        <v>0</v>
      </c>
      <c r="K39" s="85">
        <f t="shared" si="10"/>
        <v>0</v>
      </c>
      <c r="L39" s="81">
        <f t="shared" si="11"/>
        <v>0</v>
      </c>
      <c r="M39" s="86">
        <f t="shared" si="12"/>
        <v>0</v>
      </c>
      <c r="N39" s="74">
        <v>12</v>
      </c>
      <c r="O39" s="43">
        <f t="shared" si="13"/>
        <v>0</v>
      </c>
      <c r="P39" s="87">
        <f t="shared" si="14"/>
        <v>0</v>
      </c>
      <c r="Q39" s="88">
        <f t="shared" si="15"/>
        <v>0</v>
      </c>
    </row>
    <row r="40" spans="2:17" s="12" customFormat="1" x14ac:dyDescent="0.25"/>
    <row r="41" spans="2:17" s="12" customFormat="1" ht="15.75" thickBot="1" x14ac:dyDescent="0.3"/>
    <row r="42" spans="2:17" s="12" customFormat="1" ht="15.75" thickBot="1" x14ac:dyDescent="0.3">
      <c r="B42" s="226" t="s">
        <v>28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</row>
    <row r="43" spans="2:17" s="12" customFormat="1" ht="45.75" thickBot="1" x14ac:dyDescent="0.3">
      <c r="B43" s="62" t="s">
        <v>0</v>
      </c>
      <c r="C43" s="63" t="s">
        <v>5</v>
      </c>
      <c r="D43" s="63" t="s">
        <v>4</v>
      </c>
      <c r="E43" s="63" t="s">
        <v>8</v>
      </c>
      <c r="F43" s="63" t="s">
        <v>7</v>
      </c>
      <c r="G43" s="63" t="s">
        <v>11</v>
      </c>
      <c r="H43" s="64" t="s">
        <v>19</v>
      </c>
      <c r="I43" s="62" t="s">
        <v>5</v>
      </c>
      <c r="J43" s="63" t="s">
        <v>4</v>
      </c>
      <c r="K43" s="65" t="s">
        <v>20</v>
      </c>
      <c r="L43" s="63" t="s">
        <v>8</v>
      </c>
      <c r="M43" s="66" t="s">
        <v>7</v>
      </c>
      <c r="N43" s="67" t="s">
        <v>58</v>
      </c>
      <c r="O43" s="63" t="s">
        <v>21</v>
      </c>
      <c r="P43" s="68" t="s">
        <v>22</v>
      </c>
      <c r="Q43" s="89" t="s">
        <v>29</v>
      </c>
    </row>
    <row r="44" spans="2:17" s="12" customFormat="1" x14ac:dyDescent="0.25">
      <c r="B44" s="222" t="str">
        <f>FMX!C8</f>
        <v>Interior COLOUR, FH/FH, черная сердцевина, 12 мм</v>
      </c>
      <c r="C44" s="70" t="str">
        <f>IF(FMX!C8=B25,B27,IF(FMX!C8=C25,C27,IF(FMX!C8=D25,D27,IF(FMX!C8=E25,E27,IF(FMX!C8=F25,F27,IF(FMX!C8=G25,G27,0))))))</f>
        <v>1854</v>
      </c>
      <c r="D44" s="70">
        <v>4100</v>
      </c>
      <c r="E44" s="70">
        <f>(C44*D44)/1000000</f>
        <v>7.6013999999999999</v>
      </c>
      <c r="F44" s="70">
        <f>(C44+D44)*2/1000</f>
        <v>11.907999999999999</v>
      </c>
      <c r="G44" s="71">
        <f>IF(FMX!C8=B25,B28,IF(FMX!C8=C25,C28,IF(FMX!C8=D25,D28,IF(FMX!C8=E25,E28,IF(FMX!C8=F25,F28,IF(FMX!C8=G25,G28,0))))))</f>
        <v>105</v>
      </c>
      <c r="H44" s="35">
        <f>E44*G44</f>
        <v>798.14700000000005</v>
      </c>
      <c r="I44" s="33">
        <f>IF(FMX!D12&lt;L6,0,IF(FMX!D12&lt;=M6,FMX!D12,0))</f>
        <v>0</v>
      </c>
      <c r="J44" s="70">
        <f>IF(FMX!C12&lt;N6,0,IF(FMX!C12&lt;=O6,FMX!C12,0))</f>
        <v>0</v>
      </c>
      <c r="K44" s="72">
        <f>IF(I44=0,0,IF(J44=0,0,(ROUNDDOWN(C44/(I44+6),0))*(ROUNDDOWN(D44/(J44+6),0))))</f>
        <v>0</v>
      </c>
      <c r="L44" s="70">
        <f>(I44*J44)*K44/1000000</f>
        <v>0</v>
      </c>
      <c r="M44" s="73">
        <f>(I44+J44)*2*K44/1000</f>
        <v>0</v>
      </c>
      <c r="N44" s="74">
        <v>9</v>
      </c>
      <c r="O44" s="71">
        <f>M44*N44</f>
        <v>0</v>
      </c>
      <c r="P44" s="75">
        <f>IF(I44=0,0,IF(J44=0,0,IF(K44=0,0,ROUNDUP((H44+O44)/K44,0))))</f>
        <v>0</v>
      </c>
      <c r="Q44" s="76">
        <f>IF(I44=0,0,IF(J44=0,0,ROUNDUP((G44*I44*J44/1000000)+(I44+J44)*2*N44/1000,0)))</f>
        <v>0</v>
      </c>
    </row>
    <row r="45" spans="2:17" s="12" customFormat="1" x14ac:dyDescent="0.25">
      <c r="B45" s="222"/>
      <c r="C45" s="14" t="str">
        <f>IF(FMX!C8=B25,B27,IF(FMX!C8=C25,C27,IF(FMX!C8=D25,D27,IF(FMX!C8=E25,E27,IF(FMX!C8=F25,F27,IF(FMX!C8=G25,G27,0))))))</f>
        <v>1854</v>
      </c>
      <c r="D45" s="14">
        <v>4100</v>
      </c>
      <c r="E45" s="14">
        <f t="shared" ref="E45:E48" si="16">(C45*D45)/1000000</f>
        <v>7.6013999999999999</v>
      </c>
      <c r="F45" s="14">
        <f t="shared" ref="F45:F48" si="17">(C45+D45)*2/1000</f>
        <v>11.907999999999999</v>
      </c>
      <c r="G45" s="37">
        <f>IF(FMX!C8=B25,B28,IF(FMX!C8=C25,C28,IF(FMX!C8=D25,D28,IF(FMX!C8=E25,E28,IF(FMX!C8=F25,F28,IF(FMX!C8=G25,G28,0))))))</f>
        <v>105</v>
      </c>
      <c r="H45" s="39">
        <f t="shared" ref="H45:H48" si="18">E45*G45</f>
        <v>798.14700000000005</v>
      </c>
      <c r="I45" s="38">
        <f>IF(FMX!D13&lt;L6,0,IF(FMX!D13&lt;=M6,FMX!D13,0))</f>
        <v>0</v>
      </c>
      <c r="J45" s="14">
        <f>IF(FMX!C13&lt;N6,0,IF(FMX!C13&lt;=O6,FMX!C13,0))</f>
        <v>0</v>
      </c>
      <c r="K45" s="77">
        <f t="shared" ref="K45:K48" si="19">IF(I45=0,0,IF(J45=0,0,(ROUNDDOWN(C45/(I45+6),0))*(ROUNDDOWN(D45/(J45+6),0))))</f>
        <v>0</v>
      </c>
      <c r="L45" s="14">
        <f t="shared" ref="L45:L48" si="20">(I45*J45)*K45/1000000</f>
        <v>0</v>
      </c>
      <c r="M45" s="78">
        <f t="shared" ref="M45:M48" si="21">(I45+J45)*2*K45/1000</f>
        <v>0</v>
      </c>
      <c r="N45" s="74">
        <v>9</v>
      </c>
      <c r="O45" s="37">
        <f t="shared" ref="O45:O48" si="22">M45*N45</f>
        <v>0</v>
      </c>
      <c r="P45" s="79">
        <f t="shared" ref="P45:P48" si="23">IF(I45=0,0,IF(J45=0,0,IF(K45=0,0,ROUNDUP((H45+O45)/K45,0))))</f>
        <v>0</v>
      </c>
      <c r="Q45" s="80">
        <f t="shared" ref="Q45:Q48" si="24">IF(I45=0,0,IF(J45=0,0,ROUNDUP((G45*I45*J45/1000000)+(I45+J45)*2*N45/1000,0)))</f>
        <v>0</v>
      </c>
    </row>
    <row r="46" spans="2:17" s="12" customFormat="1" x14ac:dyDescent="0.25">
      <c r="B46" s="222"/>
      <c r="C46" s="14" t="str">
        <f>IF(FMX!C8=B25,B27,IF(FMX!C8=C25,C27,IF(FMX!C8=D25,D27,IF(FMX!C8=E25,E27,IF(FMX!C8=F25,F27,IF(FMX!C8=G25,G27,0))))))</f>
        <v>1854</v>
      </c>
      <c r="D46" s="14">
        <v>4100</v>
      </c>
      <c r="E46" s="14">
        <f t="shared" si="16"/>
        <v>7.6013999999999999</v>
      </c>
      <c r="F46" s="14">
        <f t="shared" si="17"/>
        <v>11.907999999999999</v>
      </c>
      <c r="G46" s="37">
        <f>IF(FMX!C8=B25,B28,IF(FMX!C8=C25,C28,IF(FMX!C8=D25,D28,IF(FMX!C8=E25,E28,IF(FMX!C8=F25,F28,IF(FMX!C8=G25,G28,0))))))</f>
        <v>105</v>
      </c>
      <c r="H46" s="39">
        <f t="shared" si="18"/>
        <v>798.14700000000005</v>
      </c>
      <c r="I46" s="38">
        <f>IF(FMX!D14&lt;L6,0,IF(FMX!D14&lt;=M6,FMX!D14,0))</f>
        <v>0</v>
      </c>
      <c r="J46" s="14">
        <f>IF(FMX!C14&lt;N6,0,IF(FMX!C14&lt;=O6,FMX!C14,0))</f>
        <v>0</v>
      </c>
      <c r="K46" s="77">
        <f t="shared" si="19"/>
        <v>0</v>
      </c>
      <c r="L46" s="14">
        <f t="shared" si="20"/>
        <v>0</v>
      </c>
      <c r="M46" s="78">
        <f t="shared" si="21"/>
        <v>0</v>
      </c>
      <c r="N46" s="74">
        <v>9</v>
      </c>
      <c r="O46" s="37">
        <f t="shared" si="22"/>
        <v>0</v>
      </c>
      <c r="P46" s="79">
        <f t="shared" si="23"/>
        <v>0</v>
      </c>
      <c r="Q46" s="80">
        <f t="shared" si="24"/>
        <v>0</v>
      </c>
    </row>
    <row r="47" spans="2:17" s="12" customFormat="1" x14ac:dyDescent="0.25">
      <c r="B47" s="222"/>
      <c r="C47" s="14" t="str">
        <f>IF(FMX!C8=B25,B27,IF(FMX!C8=C25,C27,IF(FMX!C8=D25,D27,IF(FMX!C8=E25,E27,IF(FMX!C8=F25,F27,IF(FMX!C8=G25,G27,0))))))</f>
        <v>1854</v>
      </c>
      <c r="D47" s="14">
        <v>4100</v>
      </c>
      <c r="E47" s="14">
        <f t="shared" si="16"/>
        <v>7.6013999999999999</v>
      </c>
      <c r="F47" s="14">
        <f t="shared" si="17"/>
        <v>11.907999999999999</v>
      </c>
      <c r="G47" s="37">
        <f>IF(FMX!C8=B25,B28,IF(FMX!C8=C25,C28,IF(FMX!C8=D25,D28,IF(FMX!C8=E25,E28,IF(FMX!C8=F25,F28,IF(FMX!C8=G25,G28,0))))))</f>
        <v>105</v>
      </c>
      <c r="H47" s="39">
        <f t="shared" si="18"/>
        <v>798.14700000000005</v>
      </c>
      <c r="I47" s="38">
        <f>IF(FMX!D15&lt;L6,0,IF(FMX!D15&lt;=M6,FMX!D15,0))</f>
        <v>0</v>
      </c>
      <c r="J47" s="14">
        <f>IF(FMX!C15&lt;N6,0,IF(FMX!C15&lt;=O6,FMX!C15,0))</f>
        <v>0</v>
      </c>
      <c r="K47" s="77">
        <f t="shared" si="19"/>
        <v>0</v>
      </c>
      <c r="L47" s="14">
        <f t="shared" si="20"/>
        <v>0</v>
      </c>
      <c r="M47" s="78">
        <f t="shared" si="21"/>
        <v>0</v>
      </c>
      <c r="N47" s="74">
        <v>9</v>
      </c>
      <c r="O47" s="37">
        <f t="shared" si="22"/>
        <v>0</v>
      </c>
      <c r="P47" s="79">
        <f t="shared" si="23"/>
        <v>0</v>
      </c>
      <c r="Q47" s="80">
        <f t="shared" si="24"/>
        <v>0</v>
      </c>
    </row>
    <row r="48" spans="2:17" s="12" customFormat="1" ht="15.75" thickBot="1" x14ac:dyDescent="0.3">
      <c r="B48" s="223"/>
      <c r="C48" s="81" t="str">
        <f>IF(FMX!C8=B25,B27,IF(FMX!C8=C25,C27,IF(FMX!C8=D25,D27,IF(FMX!C8=E25,E27,IF(FMX!C8=F25,F27,IF(FMX!C8=G25,G27,0))))))</f>
        <v>1854</v>
      </c>
      <c r="D48" s="81">
        <v>4100</v>
      </c>
      <c r="E48" s="81">
        <f t="shared" si="16"/>
        <v>7.6013999999999999</v>
      </c>
      <c r="F48" s="81">
        <f t="shared" si="17"/>
        <v>11.907999999999999</v>
      </c>
      <c r="G48" s="43">
        <f>IF(FMX!C8=B25,B28,IF(FMX!C8=C25,C28,IF(FMX!C8=D25,D28,IF(FMX!C8=E25,E28,IF(FMX!C8=F25,F28,IF(FMX!C8=G25,G28,0))))))</f>
        <v>105</v>
      </c>
      <c r="H48" s="44">
        <f t="shared" si="18"/>
        <v>798.14700000000005</v>
      </c>
      <c r="I48" s="42">
        <f>IF(FMX!D16&lt;L6,0,IF(FMX!D16&lt;=M6,FMX!D16,0))</f>
        <v>0</v>
      </c>
      <c r="J48" s="81">
        <f>IF(FMX!C16&lt;N6,0,IF(FMX!C16&lt;=O6,FMX!C16,0))</f>
        <v>0</v>
      </c>
      <c r="K48" s="85">
        <f t="shared" si="19"/>
        <v>0</v>
      </c>
      <c r="L48" s="81">
        <f t="shared" si="20"/>
        <v>0</v>
      </c>
      <c r="M48" s="86">
        <f t="shared" si="21"/>
        <v>0</v>
      </c>
      <c r="N48" s="74">
        <v>9</v>
      </c>
      <c r="O48" s="43">
        <f t="shared" si="22"/>
        <v>0</v>
      </c>
      <c r="P48" s="87">
        <f t="shared" si="23"/>
        <v>0</v>
      </c>
      <c r="Q48" s="88">
        <f t="shared" si="24"/>
        <v>0</v>
      </c>
    </row>
    <row r="49" spans="4:17" s="12" customFormat="1" x14ac:dyDescent="0.25">
      <c r="Q49" s="90"/>
    </row>
    <row r="50" spans="4:17" s="12" customFormat="1" ht="15.75" thickBot="1" x14ac:dyDescent="0.3">
      <c r="Q50" s="90"/>
    </row>
    <row r="51" spans="4:17" s="12" customFormat="1" ht="15.75" thickBot="1" x14ac:dyDescent="0.3">
      <c r="D51" s="218" t="s">
        <v>62</v>
      </c>
      <c r="E51" s="219"/>
      <c r="F51" s="219"/>
      <c r="G51" s="219"/>
      <c r="H51" s="219"/>
      <c r="I51" s="219"/>
      <c r="J51" s="219"/>
      <c r="K51" s="220"/>
      <c r="L51" s="221"/>
    </row>
    <row r="52" spans="4:17" s="1" customFormat="1" ht="30.75" thickBot="1" x14ac:dyDescent="0.3">
      <c r="D52" s="62" t="s">
        <v>0</v>
      </c>
      <c r="E52" s="63" t="s">
        <v>3</v>
      </c>
      <c r="F52" s="63" t="s">
        <v>5</v>
      </c>
      <c r="G52" s="63" t="s">
        <v>4</v>
      </c>
      <c r="H52" s="63" t="s">
        <v>8</v>
      </c>
      <c r="I52" s="63" t="s">
        <v>7</v>
      </c>
      <c r="J52" s="63" t="s">
        <v>11</v>
      </c>
      <c r="K52" s="65" t="s">
        <v>57</v>
      </c>
      <c r="L52" s="68" t="s">
        <v>22</v>
      </c>
    </row>
    <row r="53" spans="4:17" s="12" customFormat="1" ht="15.95" customHeight="1" x14ac:dyDescent="0.25">
      <c r="D53" s="215" t="str">
        <f>FMX!C8</f>
        <v>Interior COLOUR, FH/FH, черная сердцевина, 12 мм</v>
      </c>
      <c r="E53" s="91">
        <v>1</v>
      </c>
      <c r="F53" s="70">
        <f>IF(FMX!D12&lt;L7,0,IF(FMX!D12&lt;M7,FMX!D12,0))</f>
        <v>0</v>
      </c>
      <c r="G53" s="70">
        <f>IF(FMX!C12&lt;=N7,N7,IF(FMX!C12&lt;=D2,684,IF(FMX!C12&lt;=E2,1368,IF(FMX!C12&lt;=F2,2052,IF(FMX!C12&lt;=G2,2736,IF(FMX!C12&lt;=H2,3420,IF(FMX!C12&lt;=I2,4100,0)))))))</f>
        <v>1360</v>
      </c>
      <c r="H53" s="70">
        <f>(F53*G53)/1000000</f>
        <v>0</v>
      </c>
      <c r="I53" s="70">
        <f>IF(F53=0,0,IF(G53=0,0,(F53+G53)*2/1000))</f>
        <v>0</v>
      </c>
      <c r="J53" s="71">
        <f>IF(FMX!C8=B25,B28,IF(FMX!C8=C25,C28,IF(FMX!C8=D25,D28,IF(FMX!C8=E25,E28,IF(FMX!C8=F25,F28,IF(FMX!C8=G25,G28,0))))))</f>
        <v>105</v>
      </c>
      <c r="K53" s="92">
        <v>12</v>
      </c>
      <c r="L53" s="75">
        <f>ROUNDUP((H53*J53)+(I53*K53),0)</f>
        <v>0</v>
      </c>
    </row>
    <row r="54" spans="4:17" s="12" customFormat="1" ht="15.95" customHeight="1" x14ac:dyDescent="0.25">
      <c r="D54" s="216"/>
      <c r="E54" s="15">
        <v>2</v>
      </c>
      <c r="F54" s="14">
        <f>IF(FMX!D13&lt;L7,0,IF(FMX!D13&lt;M7,FMX!D13,0))</f>
        <v>0</v>
      </c>
      <c r="G54" s="14">
        <f>IF(FMX!C13&lt;=N7,N7,IF(FMX!C13&lt;=D2,684,IF(FMX!C13&lt;=E2,1368,IF(FMX!C13&lt;=F2,2052,IF(FMX!C13&lt;=G2,2736,IF(FMX!C13&lt;=H2,3420,IF(FMX!C13&lt;=I2,4100,0)))))))</f>
        <v>1360</v>
      </c>
      <c r="H54" s="14">
        <f t="shared" ref="H54:H57" si="25">(F54*G54)/1000000</f>
        <v>0</v>
      </c>
      <c r="I54" s="14">
        <f t="shared" ref="I54:I57" si="26">IF(F54=0,0,IF(G54=0,0,(F54+G54)*2/1000))</f>
        <v>0</v>
      </c>
      <c r="J54" s="37">
        <f>IF(FMX!C8=B25,B28,IF(FMX!C8=C25,C28,IF(FMX!C8=D25,D28,IF(FMX!C8=E25,E28,IF(FMX!C8=F25,F28,IF(FMX!C8=G25,G28,0))))))</f>
        <v>105</v>
      </c>
      <c r="K54" s="92">
        <v>12</v>
      </c>
      <c r="L54" s="79">
        <f t="shared" ref="L54:L57" si="27">ROUNDUP((H54*J54)+(I54*K54),0)</f>
        <v>0</v>
      </c>
    </row>
    <row r="55" spans="4:17" s="12" customFormat="1" ht="15.95" customHeight="1" x14ac:dyDescent="0.25">
      <c r="D55" s="216"/>
      <c r="E55" s="15">
        <v>3</v>
      </c>
      <c r="F55" s="14">
        <f>IF(FMX!D14&lt;L7,0,IF(FMX!D14&lt;M7,FMX!D14,0))</f>
        <v>0</v>
      </c>
      <c r="G55" s="14">
        <f>IF(FMX!C14&lt;=N7,N7,IF(FMX!C14&lt;=D2,684,IF(FMX!C14&lt;=E2,1368,IF(FMX!C14&lt;=F2,2052,IF(FMX!C14&lt;=G2,2736,IF(FMX!C14&lt;=H2,3420,IF(FMX!C14&lt;=I2,4100,0)))))))</f>
        <v>1360</v>
      </c>
      <c r="H55" s="14">
        <f t="shared" si="25"/>
        <v>0</v>
      </c>
      <c r="I55" s="14">
        <f t="shared" si="26"/>
        <v>0</v>
      </c>
      <c r="J55" s="37">
        <f>IF(FMX!C8=B25,B28,IF(FMX!C8=C25,C28,IF(FMX!C8=D25,D28,IF(FMX!C8=E25,E28,IF(FMX!C8=F25,F28,IF(FMX!C8=G25,G28,0))))))</f>
        <v>105</v>
      </c>
      <c r="K55" s="92">
        <v>12</v>
      </c>
      <c r="L55" s="79">
        <f t="shared" si="27"/>
        <v>0</v>
      </c>
    </row>
    <row r="56" spans="4:17" s="12" customFormat="1" ht="15.95" customHeight="1" x14ac:dyDescent="0.25">
      <c r="D56" s="216"/>
      <c r="E56" s="15">
        <v>4</v>
      </c>
      <c r="F56" s="14">
        <f>IF(FMX!D15&lt;L7,0,IF(FMX!D15&lt;M7,FMX!D15,0))</f>
        <v>0</v>
      </c>
      <c r="G56" s="14">
        <f>IF(FMX!C15&lt;=N7,N7,IF(FMX!C15&lt;=D2,684,IF(FMX!C15&lt;=E2,1368,IF(FMX!C15&lt;=F2,2052,IF(FMX!C15&lt;=G2,2736,IF(FMX!C15&lt;=H2,3420,IF(FMX!C15&lt;=I2,4100,0)))))))</f>
        <v>1360</v>
      </c>
      <c r="H56" s="14">
        <f t="shared" si="25"/>
        <v>0</v>
      </c>
      <c r="I56" s="14">
        <f t="shared" si="26"/>
        <v>0</v>
      </c>
      <c r="J56" s="37">
        <f>IF(FMX!C8=B25,B28,IF(FMX!C8=C25,C28,IF(FMX!C8=D25,D28,IF(FMX!C8=E25,E28,IF(FMX!C8=F25,F28,IF(FMX!C8=G25,G28,0))))))</f>
        <v>105</v>
      </c>
      <c r="K56" s="92">
        <v>12</v>
      </c>
      <c r="L56" s="79">
        <f t="shared" si="27"/>
        <v>0</v>
      </c>
    </row>
    <row r="57" spans="4:17" s="12" customFormat="1" ht="15.95" customHeight="1" thickBot="1" x14ac:dyDescent="0.3">
      <c r="D57" s="217"/>
      <c r="E57" s="93">
        <v>5</v>
      </c>
      <c r="F57" s="81">
        <f>IF(FMX!D16&lt;L7,0,IF(FMX!D16&lt;M7,FMX!D16,0))</f>
        <v>0</v>
      </c>
      <c r="G57" s="81">
        <f>IF(FMX!C16&lt;=N7,N7,IF(FMX!C16&lt;=D2,684,IF(FMX!C16&lt;=E2,1368,IF(FMX!C16&lt;=F2,2052,IF(FMX!C16&lt;=G2,2736,IF(FMX!C16&lt;=H2,3420,IF(FMX!C16&lt;=I2,4100,0)))))))</f>
        <v>1360</v>
      </c>
      <c r="H57" s="81">
        <f t="shared" si="25"/>
        <v>0</v>
      </c>
      <c r="I57" s="81">
        <f t="shared" si="26"/>
        <v>0</v>
      </c>
      <c r="J57" s="43">
        <f>IF(FMX!C8=B25,B28,IF(FMX!C8=C25,C28,IF(FMX!C8=D25,D28,IF(FMX!C8=E25,E28,IF(FMX!C8=F25,F28,IF(FMX!C8=G25,G28,0))))))</f>
        <v>105</v>
      </c>
      <c r="K57" s="92">
        <v>12</v>
      </c>
      <c r="L57" s="87">
        <f t="shared" si="27"/>
        <v>0</v>
      </c>
    </row>
    <row r="58" spans="4:17" s="12" customFormat="1" x14ac:dyDescent="0.25"/>
    <row r="59" spans="4:17" s="12" customFormat="1" x14ac:dyDescent="0.25"/>
    <row r="60" spans="4:17" s="12" customFormat="1" x14ac:dyDescent="0.25"/>
  </sheetData>
  <sheetProtection algorithmName="SHA-512" hashValue="v2wIS+aAq4wTfjWSAlGknpRCrHoaNw+utoOmSa09igeRz2rYC+IGpl8oYVPjZeIZzN7a0mxy2nrSNtm/hBHvcQ==" saltValue="W6gY6rOXXXH9BcID8NVESA==" spinCount="100000" sheet="1" objects="1" scenarios="1"/>
  <protectedRanges>
    <protectedRange sqref="O25" name="Диапазон9"/>
    <protectedRange sqref="K53:K57" name="Диапазон7"/>
    <protectedRange sqref="D2:I2" name="Диапазон1"/>
    <protectedRange sqref="C3:C7" name="Диапазон2"/>
    <protectedRange sqref="B24:G28" name="Диапазон3"/>
    <protectedRange sqref="N35:N39" name="Диапазон4"/>
    <protectedRange sqref="N44:N48" name="Диапазон5"/>
    <protectedRange sqref="L4:O7" name="Диапазон6"/>
    <protectedRange sqref="N25" name="Диапазон8"/>
  </protectedRanges>
  <mergeCells count="18">
    <mergeCell ref="B1:I1"/>
    <mergeCell ref="K1:O1"/>
    <mergeCell ref="L2:M2"/>
    <mergeCell ref="N2:O2"/>
    <mergeCell ref="K2:K3"/>
    <mergeCell ref="B3:B5"/>
    <mergeCell ref="D53:D57"/>
    <mergeCell ref="D51:L51"/>
    <mergeCell ref="B35:B39"/>
    <mergeCell ref="B6:B7"/>
    <mergeCell ref="B44:B48"/>
    <mergeCell ref="B42:P42"/>
    <mergeCell ref="B10:G10"/>
    <mergeCell ref="B29:G29"/>
    <mergeCell ref="B30:G30"/>
    <mergeCell ref="P10:U10"/>
    <mergeCell ref="B33:P33"/>
    <mergeCell ref="I10:N10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="80" zoomScaleNormal="80" workbookViewId="0">
      <selection activeCell="N25" sqref="N25"/>
    </sheetView>
  </sheetViews>
  <sheetFormatPr defaultRowHeight="15" x14ac:dyDescent="0.25"/>
  <cols>
    <col min="1" max="1" width="3.28515625" style="9" customWidth="1"/>
    <col min="2" max="2" width="18.28515625" style="12" customWidth="1"/>
    <col min="3" max="3" width="11.85546875" style="12" customWidth="1"/>
    <col min="4" max="4" width="11.28515625" style="12" customWidth="1"/>
    <col min="5" max="5" width="11.7109375" style="12" customWidth="1"/>
    <col min="6" max="6" width="12" style="12" customWidth="1"/>
    <col min="7" max="7" width="12.7109375" style="12" customWidth="1"/>
    <col min="8" max="8" width="11.42578125" style="12" customWidth="1"/>
    <col min="9" max="9" width="10.7109375" style="12" customWidth="1"/>
    <col min="10" max="10" width="11" style="12" customWidth="1"/>
    <col min="11" max="11" width="10.28515625" style="12" customWidth="1"/>
    <col min="12" max="12" width="11.42578125" style="12" customWidth="1"/>
    <col min="13" max="13" width="10.85546875" style="12" customWidth="1"/>
    <col min="14" max="14" width="14" style="12" customWidth="1"/>
    <col min="15" max="15" width="11.5703125" style="12" customWidth="1"/>
    <col min="16" max="16" width="13" style="12" customWidth="1"/>
    <col min="17" max="17" width="12.85546875" style="12" customWidth="1"/>
    <col min="18" max="18" width="11.28515625" style="12" customWidth="1"/>
    <col min="19" max="19" width="11.42578125" style="12" customWidth="1"/>
    <col min="20" max="20" width="12.140625" style="12" customWidth="1"/>
    <col min="21" max="21" width="11" style="12" customWidth="1"/>
    <col min="22" max="29" width="9.140625" style="12"/>
    <col min="30" max="16384" width="9.140625" style="9"/>
  </cols>
  <sheetData>
    <row r="1" spans="2:21" s="12" customFormat="1" x14ac:dyDescent="0.25">
      <c r="B1" s="236" t="s">
        <v>38</v>
      </c>
      <c r="C1" s="237"/>
      <c r="D1" s="237"/>
      <c r="E1" s="237"/>
      <c r="F1" s="237"/>
      <c r="G1" s="237"/>
      <c r="H1" s="237"/>
      <c r="I1" s="238"/>
      <c r="K1" s="236" t="s">
        <v>38</v>
      </c>
      <c r="L1" s="237"/>
      <c r="M1" s="237"/>
      <c r="N1" s="237"/>
      <c r="O1" s="238"/>
      <c r="Q1" s="13"/>
      <c r="R1" s="13"/>
      <c r="S1" s="13"/>
      <c r="T1" s="13"/>
      <c r="U1" s="13"/>
    </row>
    <row r="2" spans="2:21" s="12" customFormat="1" x14ac:dyDescent="0.25">
      <c r="B2" s="127"/>
      <c r="C2" s="126"/>
      <c r="D2" s="16">
        <v>630</v>
      </c>
      <c r="E2" s="16">
        <v>1260</v>
      </c>
      <c r="F2" s="16">
        <v>1890</v>
      </c>
      <c r="G2" s="16">
        <v>2510</v>
      </c>
      <c r="H2" s="16">
        <v>3030</v>
      </c>
      <c r="I2" s="16">
        <v>3640</v>
      </c>
      <c r="K2" s="239"/>
      <c r="L2" s="239" t="s">
        <v>5</v>
      </c>
      <c r="M2" s="239"/>
      <c r="N2" s="239" t="s">
        <v>4</v>
      </c>
      <c r="O2" s="239"/>
      <c r="Q2" s="13"/>
      <c r="R2" s="13"/>
      <c r="S2" s="13"/>
      <c r="T2" s="13"/>
      <c r="U2" s="13"/>
    </row>
    <row r="3" spans="2:21" s="12" customFormat="1" x14ac:dyDescent="0.25">
      <c r="B3" s="224" t="s">
        <v>110</v>
      </c>
      <c r="C3" s="16">
        <v>600</v>
      </c>
      <c r="D3" s="127">
        <f>(C3*D2)/1000000</f>
        <v>0.378</v>
      </c>
      <c r="E3" s="127">
        <f>(C3*E2)/1000000</f>
        <v>0.75600000000000001</v>
      </c>
      <c r="F3" s="127">
        <f>(C3*F2)/1000000</f>
        <v>1.1339999999999999</v>
      </c>
      <c r="G3" s="127">
        <f>(C3*G2)/1000000</f>
        <v>1.506</v>
      </c>
      <c r="H3" s="127">
        <f>(C3*H2)/1000000</f>
        <v>1.8180000000000001</v>
      </c>
      <c r="I3" s="127">
        <f>(C3*I2)/1000000</f>
        <v>2.1840000000000002</v>
      </c>
      <c r="K3" s="240"/>
      <c r="L3" s="126" t="s">
        <v>35</v>
      </c>
      <c r="M3" s="126" t="s">
        <v>36</v>
      </c>
      <c r="N3" s="126" t="s">
        <v>35</v>
      </c>
      <c r="O3" s="126" t="s">
        <v>36</v>
      </c>
      <c r="Q3" s="17"/>
      <c r="R3" s="13"/>
      <c r="S3" s="13"/>
      <c r="T3" s="13"/>
      <c r="U3" s="13"/>
    </row>
    <row r="4" spans="2:21" s="12" customFormat="1" x14ac:dyDescent="0.25">
      <c r="B4" s="241"/>
      <c r="C4" s="16">
        <v>1200</v>
      </c>
      <c r="D4" s="127">
        <f>(C4*D2)/1000000</f>
        <v>0.75600000000000001</v>
      </c>
      <c r="E4" s="127">
        <f>(C4*E2)/1000000</f>
        <v>1.512</v>
      </c>
      <c r="F4" s="127">
        <f>(C4*F2)/1000000</f>
        <v>2.2679999999999998</v>
      </c>
      <c r="G4" s="127">
        <f>(C4*G2)/1000000</f>
        <v>3.012</v>
      </c>
      <c r="H4" s="127">
        <f>(C4*H2)/1000000</f>
        <v>3.6360000000000001</v>
      </c>
      <c r="I4" s="127">
        <f>(C4*I2)/1000000</f>
        <v>4.3680000000000003</v>
      </c>
      <c r="K4" s="126" t="s">
        <v>33</v>
      </c>
      <c r="L4" s="103">
        <v>450</v>
      </c>
      <c r="M4" s="104">
        <v>1830</v>
      </c>
      <c r="N4" s="105">
        <v>150</v>
      </c>
      <c r="O4" s="104">
        <v>3660</v>
      </c>
      <c r="Q4" s="13"/>
      <c r="R4" s="18"/>
      <c r="S4" s="19"/>
      <c r="T4" s="20"/>
      <c r="U4" s="18"/>
    </row>
    <row r="5" spans="2:21" s="12" customFormat="1" x14ac:dyDescent="0.25">
      <c r="B5" s="225"/>
      <c r="C5" s="16">
        <v>1800</v>
      </c>
      <c r="D5" s="127">
        <f>(C5*D2)/1000000</f>
        <v>1.1339999999999999</v>
      </c>
      <c r="E5" s="127">
        <f>(C5*E2)/1000000</f>
        <v>2.2679999999999998</v>
      </c>
      <c r="F5" s="127">
        <f>(C5*F2)/1000000</f>
        <v>3.4020000000000001</v>
      </c>
      <c r="G5" s="127">
        <f>(C5*G2)/1000000</f>
        <v>4.5179999999999998</v>
      </c>
      <c r="H5" s="127">
        <f>(C5*H2)/1000000</f>
        <v>5.4539999999999997</v>
      </c>
      <c r="I5" s="127">
        <f>(C5*I2)/1000000</f>
        <v>6.5519999999999996</v>
      </c>
      <c r="K5" s="21" t="s">
        <v>34</v>
      </c>
      <c r="L5" s="106">
        <v>150</v>
      </c>
      <c r="M5" s="106">
        <v>1000</v>
      </c>
      <c r="N5" s="106">
        <v>300</v>
      </c>
      <c r="O5" s="106">
        <v>1400</v>
      </c>
      <c r="Q5" s="13"/>
      <c r="R5" s="18"/>
      <c r="S5" s="18"/>
      <c r="T5" s="18"/>
      <c r="U5" s="18"/>
    </row>
    <row r="6" spans="2:21" s="12" customFormat="1" ht="15" customHeight="1" x14ac:dyDescent="0.25">
      <c r="B6" s="242" t="s">
        <v>111</v>
      </c>
      <c r="C6" s="16">
        <v>640</v>
      </c>
      <c r="D6" s="127">
        <f>(C6*D2)/1000000</f>
        <v>0.4032</v>
      </c>
      <c r="E6" s="127">
        <f>(C6*E2)/1000000</f>
        <v>0.80640000000000001</v>
      </c>
      <c r="F6" s="127">
        <f>(C6*F2)/1000000</f>
        <v>1.2096</v>
      </c>
      <c r="G6" s="127">
        <f>(C6*G2)/1000000</f>
        <v>1.6064000000000001</v>
      </c>
      <c r="H6" s="127">
        <f>(C6*H2)/1000000</f>
        <v>1.9392</v>
      </c>
      <c r="I6" s="127"/>
      <c r="K6" s="21" t="s">
        <v>25</v>
      </c>
      <c r="L6" s="106">
        <v>600</v>
      </c>
      <c r="M6" s="106">
        <v>1400</v>
      </c>
      <c r="N6" s="106">
        <v>600</v>
      </c>
      <c r="O6" s="106">
        <v>1400</v>
      </c>
      <c r="Q6" s="13"/>
      <c r="R6" s="18"/>
      <c r="S6" s="19"/>
      <c r="T6" s="18"/>
      <c r="U6" s="20"/>
    </row>
    <row r="7" spans="2:21" s="12" customFormat="1" x14ac:dyDescent="0.25">
      <c r="B7" s="243"/>
      <c r="C7" s="16">
        <v>1280</v>
      </c>
      <c r="D7" s="127">
        <f>(C7*D2)/1000000</f>
        <v>0.80640000000000001</v>
      </c>
      <c r="E7" s="127">
        <f>(C7*E2)/1000000</f>
        <v>1.6128</v>
      </c>
      <c r="F7" s="127">
        <f>(C7*F2)/1000000</f>
        <v>2.4192</v>
      </c>
      <c r="G7" s="127">
        <f>(C7*G2)/1000000</f>
        <v>3.2128000000000001</v>
      </c>
      <c r="H7" s="127">
        <f>(C7*H2)/1000000</f>
        <v>3.8784000000000001</v>
      </c>
      <c r="I7" s="127"/>
      <c r="K7" s="126" t="s">
        <v>61</v>
      </c>
      <c r="L7" s="105">
        <v>50</v>
      </c>
      <c r="M7" s="105">
        <v>150</v>
      </c>
      <c r="N7" s="103">
        <v>1360</v>
      </c>
      <c r="O7" s="103">
        <v>3660</v>
      </c>
      <c r="Q7" s="13"/>
      <c r="R7" s="22"/>
      <c r="S7" s="22"/>
      <c r="T7" s="22"/>
      <c r="U7" s="22"/>
    </row>
    <row r="8" spans="2:21" s="12" customFormat="1" x14ac:dyDescent="0.25">
      <c r="L8" s="23"/>
      <c r="M8" s="23"/>
      <c r="N8" s="23"/>
    </row>
    <row r="9" spans="2:21" s="12" customFormat="1" ht="15.75" thickBot="1" x14ac:dyDescent="0.3">
      <c r="B9" s="17"/>
      <c r="C9" s="17"/>
      <c r="D9" s="17"/>
      <c r="E9" s="17"/>
      <c r="F9" s="17"/>
      <c r="G9" s="24"/>
      <c r="L9" s="23"/>
      <c r="M9" s="23"/>
      <c r="N9" s="23"/>
    </row>
    <row r="10" spans="2:21" s="12" customFormat="1" ht="15.75" thickBot="1" x14ac:dyDescent="0.3">
      <c r="B10" s="229" t="s">
        <v>110</v>
      </c>
      <c r="C10" s="230"/>
      <c r="D10" s="230"/>
      <c r="E10" s="230"/>
      <c r="F10" s="230"/>
      <c r="G10" s="231"/>
      <c r="I10" s="226" t="s">
        <v>59</v>
      </c>
      <c r="J10" s="227"/>
      <c r="K10" s="234"/>
      <c r="L10" s="234"/>
      <c r="M10" s="234"/>
      <c r="N10" s="235"/>
      <c r="O10" s="17"/>
      <c r="P10" s="229" t="s">
        <v>112</v>
      </c>
      <c r="Q10" s="230"/>
      <c r="R10" s="230"/>
      <c r="S10" s="230"/>
      <c r="T10" s="230"/>
      <c r="U10" s="231"/>
    </row>
    <row r="11" spans="2:21" s="12" customFormat="1" ht="30.75" thickBot="1" x14ac:dyDescent="0.3">
      <c r="B11" s="25" t="s">
        <v>3</v>
      </c>
      <c r="C11" s="25" t="s">
        <v>5</v>
      </c>
      <c r="D11" s="25" t="s">
        <v>4</v>
      </c>
      <c r="E11" s="25" t="s">
        <v>8</v>
      </c>
      <c r="F11" s="25" t="s">
        <v>7</v>
      </c>
      <c r="G11" s="25" t="s">
        <v>11</v>
      </c>
      <c r="I11" s="131" t="s">
        <v>15</v>
      </c>
      <c r="J11" s="132" t="s">
        <v>16</v>
      </c>
      <c r="K11" s="133" t="s">
        <v>23</v>
      </c>
      <c r="L11" s="29" t="s">
        <v>24</v>
      </c>
      <c r="M11" s="30" t="s">
        <v>60</v>
      </c>
      <c r="N11" s="31" t="s">
        <v>64</v>
      </c>
      <c r="P11" s="126" t="s">
        <v>3</v>
      </c>
      <c r="Q11" s="25" t="s">
        <v>5</v>
      </c>
      <c r="R11" s="25" t="s">
        <v>4</v>
      </c>
      <c r="S11" s="25" t="s">
        <v>8</v>
      </c>
      <c r="T11" s="25" t="s">
        <v>7</v>
      </c>
      <c r="U11" s="25" t="s">
        <v>11</v>
      </c>
    </row>
    <row r="12" spans="2:21" s="12" customFormat="1" x14ac:dyDescent="0.25">
      <c r="B12" s="126">
        <v>1</v>
      </c>
      <c r="C12" s="127">
        <f>IF(Green!D12&lt;$L$7,0,IF(Green!D12&lt;=$M$7,Green!D12+50,IF(Green!D12&lt;=$C$3,600,IF(Green!D12&lt;=$C$4,1215,IF(Green!D12&lt;=$C$5,1830,0)))))</f>
        <v>0</v>
      </c>
      <c r="D12" s="127">
        <f>IF(Green!C12&lt;$N$4,0,IF(Green!C12&lt;=$D$2,650,IF(Green!C12&lt;=$E$2,1250,IF(Green!C12&lt;=$F$2,1850,IF(Green!C12&lt;=$G$2,2450,IF(Green!C12&lt;=$H$2,3050,IF(Green!C12&lt;=$I$2,3660,0)))))))</f>
        <v>0</v>
      </c>
      <c r="E12" s="127">
        <f>(C12*D12)/1000000</f>
        <v>0</v>
      </c>
      <c r="F12" s="127">
        <f>(C12+D12)*2/1000</f>
        <v>0</v>
      </c>
      <c r="G12" s="37">
        <f>IF(Green!C8=B25,B28,IF(Green!C8=C25,C28,IF(Green!C8=D25,D28,IF(Green!C8=E25,E28,IF(Green!C8=F25,F28,IF(Green!C8=G25,G28,0))))))</f>
        <v>78.239999999999995</v>
      </c>
      <c r="I12" s="134">
        <f>IF(Green!$C$8=$B$25,S12,IF(Green!$C$8=$C$25,E12,IF(Green!$C$8=$D$25,S12,IF(Green!$C$8=$E$25,S12,IF(Green!$C$8=$F$25,S12,IF(Green!$C$8=$G$25,S12,0))))))</f>
        <v>0</v>
      </c>
      <c r="J12" s="135">
        <f>IF(Green!$C$8=$B$25,U12,IF(Green!$C$8=$C$25,G12,IF(Green!$C$8=$D$25,U12,IF(Green!$C$8=$E$25,U12,IF(Green!$C$8=$F$25,U12,IF(Green!$C$8=$G$25,U12,0))))))</f>
        <v>78.239999999999995</v>
      </c>
      <c r="K12" s="136">
        <f>I12*J12</f>
        <v>0</v>
      </c>
      <c r="L12" s="137">
        <f>P35</f>
        <v>0</v>
      </c>
      <c r="M12" s="137">
        <f>P44</f>
        <v>0</v>
      </c>
      <c r="N12" s="138">
        <f>L53</f>
        <v>0</v>
      </c>
      <c r="P12" s="126">
        <v>1</v>
      </c>
      <c r="Q12" s="127">
        <f>IF(Green!D12&lt;L7,0,IF(Green!D12&lt;=M7,Green!D12+50,IF(Green!D12&lt;=C6,650,IF(Green!D12&lt;=C7,1300,0))))</f>
        <v>0</v>
      </c>
      <c r="R12" s="127">
        <f>IF(Green!C12&lt;$N$4,0,IF(Green!C12&lt;=$D$2,650,IF(Green!C12&lt;=$E$2,1250,IF(Green!C12&lt;=$F$2,1850,IF(Green!C12&lt;=$G$2,2450,IF(Green!C12&lt;=$H$2,3050,0))))))</f>
        <v>0</v>
      </c>
      <c r="S12" s="127">
        <f>(Q12*R12)/1000000</f>
        <v>0</v>
      </c>
      <c r="T12" s="127">
        <f>(Q12+R12)*2/1000</f>
        <v>0</v>
      </c>
      <c r="U12" s="37">
        <f>IF(Green!C8=B25,B28,IF(Green!C8=C25,C28,IF(Green!C8=D25,D28,IF(Green!C8=E25,E28,IF(Green!C8=F25,F28,0)))))</f>
        <v>78.239999999999995</v>
      </c>
    </row>
    <row r="13" spans="2:21" s="12" customFormat="1" x14ac:dyDescent="0.25">
      <c r="B13" s="126">
        <v>2</v>
      </c>
      <c r="C13" s="127">
        <f>IF(Green!D13&lt;$L$7,0,IF(Green!D13&lt;=$M$7,Green!D13+50,IF(Green!D13&lt;=$C$3,600,IF(Green!D13&lt;=$C$4,1215,IF(Green!D13&lt;=$C$5,1830,0)))))</f>
        <v>0</v>
      </c>
      <c r="D13" s="127">
        <f>IF(Green!C13&lt;$N$4,0,IF(Green!C13&lt;=$D$2,650,IF(Green!C13&lt;=$E$2,1250,IF(Green!C13&lt;=$F$2,1850,IF(Green!C13&lt;=$G$2,2450,IF(Green!C13&lt;=$H$2,3050,IF(Green!C13&lt;=$I$2,3660,0)))))))</f>
        <v>0</v>
      </c>
      <c r="E13" s="127">
        <f>(C13*D13)/1000000</f>
        <v>0</v>
      </c>
      <c r="F13" s="127">
        <f t="shared" ref="F13:F21" si="0">(C13+D13)*2/1000</f>
        <v>0</v>
      </c>
      <c r="G13" s="37">
        <f>IF(Green!C8=B25,B28,IF(Green!C8=C25,C28,IF(Green!C8=D25,D28,IF(Green!C8=E25,E28,IF(Green!C8=F25,F28,IF(Green!C8=G25,G28,0))))))</f>
        <v>78.239999999999995</v>
      </c>
      <c r="I13" s="38">
        <f>IF(Green!$C$8=$B$25,S13,IF(Green!$C$8=$C$25,E13,IF(Green!$C$8=$D$25,S13,IF(Green!$C$8=$E$25,S13,IF(Green!$C$8=$F$25,S13,IF(Green!$C$8=$G$25,S13,0))))))</f>
        <v>0</v>
      </c>
      <c r="J13" s="37">
        <f>IF(Green!$C$8=$B$25,U13,IF(Green!$C$8=$C$25,G13,IF(Green!$C$8=$D$25,U13,IF(Green!$C$8=$E$25,U13,IF(Green!$C$8=$F$25,U13,IF(Green!$C$8=$G$25,U13,0))))))</f>
        <v>78.239999999999995</v>
      </c>
      <c r="K13" s="139">
        <f t="shared" ref="K13:K21" si="1">I13*J13</f>
        <v>0</v>
      </c>
      <c r="L13" s="140">
        <f t="shared" ref="L13:L16" si="2">P36</f>
        <v>0</v>
      </c>
      <c r="M13" s="140">
        <f>P45</f>
        <v>0</v>
      </c>
      <c r="N13" s="141">
        <f t="shared" ref="N13:N16" si="3">L54</f>
        <v>0</v>
      </c>
      <c r="P13" s="126">
        <v>2</v>
      </c>
      <c r="Q13" s="127">
        <f>IF(Green!D13&lt;L7,0,IF(Green!D13&lt;=M7,Green!D13+50,IF(Green!D13&lt;=C6,650,IF(Green!D13&lt;=C7,1300,0))))</f>
        <v>0</v>
      </c>
      <c r="R13" s="127">
        <f>IF(Green!C13&lt;$N$4,0,IF(Green!C13&lt;=$D$2,650,IF(Green!C13&lt;=$E$2,1250,IF(Green!C13&lt;=$F$2,1850,IF(Green!C13&lt;=$G$2,2450,IF(Green!C13&lt;=$H$2,3050,0))))))</f>
        <v>0</v>
      </c>
      <c r="S13" s="127">
        <f>(Q13*R13)/1000000</f>
        <v>0</v>
      </c>
      <c r="T13" s="127">
        <f>(Q13+R13)*2/1000</f>
        <v>0</v>
      </c>
      <c r="U13" s="37">
        <f>IF(Green!C8=B25,B28,IF(Green!C8=C25,C28,IF(Green!C8=D25,D28,IF(Green!C8=E25,E28,IF(Green!C8=F25,F28,0)))))</f>
        <v>78.239999999999995</v>
      </c>
    </row>
    <row r="14" spans="2:21" s="12" customFormat="1" x14ac:dyDescent="0.25">
      <c r="B14" s="126">
        <v>3</v>
      </c>
      <c r="C14" s="127">
        <f>IF(Green!D14&lt;$L$7,0,IF(Green!D14&lt;=$M$7,Green!D14+50,IF(Green!D14&lt;=$C$3,600,IF(Green!D14&lt;=$C$4,1215,IF(Green!D14&lt;=$C$5,1830,0)))))</f>
        <v>0</v>
      </c>
      <c r="D14" s="127">
        <f>IF(Green!C14&lt;$N$4,0,IF(Green!C14&lt;=$D$2,650,IF(Green!C14&lt;=$E$2,1250,IF(Green!C14&lt;=$F$2,1850,IF(Green!C14&lt;=$G$2,2450,IF(Green!C14&lt;=$H$2,3050,IF(Green!C14&lt;=$I$2,3660,0)))))))</f>
        <v>0</v>
      </c>
      <c r="E14" s="127">
        <f t="shared" ref="E14:E21" si="4">(C14*D14)/1000000</f>
        <v>0</v>
      </c>
      <c r="F14" s="127">
        <f t="shared" si="0"/>
        <v>0</v>
      </c>
      <c r="G14" s="37">
        <f>IF(Green!C8=B25,B28,IF(Green!C8=C25,C28,IF(Green!C8=D25,D28,IF(Green!C8=E25,E28,IF(Green!C8=F25,F28,IF(Green!C8=G25,G28,0))))))</f>
        <v>78.239999999999995</v>
      </c>
      <c r="I14" s="38">
        <f>IF(Green!$C$8=$B$25,S14,IF(Green!$C$8=$C$25,E14,IF(Green!$C$8=$D$25,S14,IF(Green!$C$8=$E$25,S14,IF(Green!$C$8=$F$25,S14,IF(Green!$C$8=$G$25,S14,0))))))</f>
        <v>0</v>
      </c>
      <c r="J14" s="37">
        <f>IF(Green!$C$8=$B$25,U14,IF(Green!$C$8=$C$25,G14,IF(Green!$C$8=$D$25,U14,IF(Green!$C$8=$E$25,U14,IF(Green!$C$8=$F$25,U14,IF(Green!$C$8=$G$25,U14,0))))))</f>
        <v>78.239999999999995</v>
      </c>
      <c r="K14" s="139">
        <f t="shared" si="1"/>
        <v>0</v>
      </c>
      <c r="L14" s="140">
        <f t="shared" si="2"/>
        <v>0</v>
      </c>
      <c r="M14" s="140">
        <f>P46</f>
        <v>0</v>
      </c>
      <c r="N14" s="141">
        <f t="shared" si="3"/>
        <v>0</v>
      </c>
      <c r="P14" s="126">
        <v>3</v>
      </c>
      <c r="Q14" s="127">
        <f>IF(Green!D14&lt;L7,0,IF(Green!D14&lt;=M7,Green!D14+50,IF(Green!D14&lt;=C6,650,IF(Green!D14&lt;=C7,1300,0))))</f>
        <v>0</v>
      </c>
      <c r="R14" s="127">
        <f>IF(Green!C14&lt;$N$4,0,IF(Green!C14&lt;=$D$2,650,IF(Green!C14&lt;=$E$2,1250,IF(Green!C14&lt;=$F$2,1850,IF(Green!C14&lt;=$G$2,2450,IF(Green!C14&lt;=$H$2,3050,0))))))</f>
        <v>0</v>
      </c>
      <c r="S14" s="127">
        <f>(Q14*R14)/1000000</f>
        <v>0</v>
      </c>
      <c r="T14" s="127">
        <f>(Q14+R14)*2/1000</f>
        <v>0</v>
      </c>
      <c r="U14" s="37">
        <f>IF(Green!C8=B25,B28,IF(Green!C8=C25,C28,IF(Green!C8=D25,D28,IF(Green!C8=E25,E28,IF(Green!C8=F25,F28,0)))))</f>
        <v>78.239999999999995</v>
      </c>
    </row>
    <row r="15" spans="2:21" s="12" customFormat="1" x14ac:dyDescent="0.25">
      <c r="B15" s="126">
        <v>4</v>
      </c>
      <c r="C15" s="127">
        <f>IF(Green!D15&lt;$L$7,0,IF(Green!D15&lt;=$M$7,Green!D15+50,IF(Green!D15&lt;=$C$3,600,IF(Green!D15&lt;=$C$4,1215,IF(Green!D15&lt;=$C$5,1830,0)))))</f>
        <v>0</v>
      </c>
      <c r="D15" s="127">
        <f>IF(Green!C15&lt;$N$4,0,IF(Green!C15&lt;=$D$2,650,IF(Green!C15&lt;=$E$2,1250,IF(Green!C15&lt;=$F$2,1850,IF(Green!C15&lt;=$G$2,2450,IF(Green!C15&lt;=$H$2,3050,IF(Green!C15&lt;=$I$2,3660,0)))))))</f>
        <v>0</v>
      </c>
      <c r="E15" s="127">
        <f t="shared" si="4"/>
        <v>0</v>
      </c>
      <c r="F15" s="127">
        <f t="shared" si="0"/>
        <v>0</v>
      </c>
      <c r="G15" s="37">
        <f>IF(Green!C8=B25,B28,IF(Green!C8=C25,C28,IF(Green!C8=D25,D28,IF(Green!C8=E25,E28,IF(Green!C8=F25,F28,IF(Green!C8=G25,G28,0))))))</f>
        <v>78.239999999999995</v>
      </c>
      <c r="I15" s="38">
        <f>IF(Green!$C$8=$B$25,S15,IF(Green!$C$8=$C$25,E15,IF(Green!$C$8=$D$25,S15,IF(Green!$C$8=$E$25,S15,IF(Green!$C$8=$F$25,S15,IF(Green!$C$8=$G$25,S15,0))))))</f>
        <v>0</v>
      </c>
      <c r="J15" s="37">
        <f>IF(Green!$C$8=$B$25,U15,IF(Green!$C$8=$C$25,G15,IF(Green!$C$8=$D$25,U15,IF(Green!$C$8=$E$25,U15,IF(Green!$C$8=$F$25,U15,IF(Green!$C$8=$G$25,U15,0))))))</f>
        <v>78.239999999999995</v>
      </c>
      <c r="K15" s="139">
        <f t="shared" si="1"/>
        <v>0</v>
      </c>
      <c r="L15" s="140">
        <f t="shared" si="2"/>
        <v>0</v>
      </c>
      <c r="M15" s="140">
        <f>P47</f>
        <v>0</v>
      </c>
      <c r="N15" s="141">
        <f t="shared" si="3"/>
        <v>0</v>
      </c>
      <c r="P15" s="126">
        <v>4</v>
      </c>
      <c r="Q15" s="127">
        <f>IF(Green!D15&lt;L7,0,IF(Green!D15&lt;=M7,Green!D15+50,IF(Green!D15&lt;=C6,650,IF(Green!D15&lt;=C7,1300,0))))</f>
        <v>0</v>
      </c>
      <c r="R15" s="127">
        <f>IF(Green!C15&lt;$N$4,0,IF(Green!C15&lt;=$D$2,650,IF(Green!C15&lt;=$E$2,1250,IF(Green!C15&lt;=$F$2,1850,IF(Green!C15&lt;=$G$2,2450,IF(Green!C15&lt;=$H$2,3050,0))))))</f>
        <v>0</v>
      </c>
      <c r="S15" s="127">
        <f>(Q15*R15)/1000000</f>
        <v>0</v>
      </c>
      <c r="T15" s="127">
        <f>(Q15+R15)*2/1000</f>
        <v>0</v>
      </c>
      <c r="U15" s="37">
        <f>IF(Green!C8=B25,B28,IF(Green!C8=C25,C28,IF(Green!C8=D25,D28,IF(Green!C8=E25,E28,IF(Green!C8=F25,F28,0)))))</f>
        <v>78.239999999999995</v>
      </c>
    </row>
    <row r="16" spans="2:21" s="12" customFormat="1" x14ac:dyDescent="0.25">
      <c r="B16" s="126">
        <v>5</v>
      </c>
      <c r="C16" s="127">
        <f>IF(Green!D16&lt;$L$7,0,IF(Green!D16&lt;=$M$7,Green!D16+50,IF(Green!D16&lt;=$C$3,600,IF(Green!D16&lt;=$C$4,1215,IF(Green!D16&lt;=$C$5,1830,0)))))</f>
        <v>0</v>
      </c>
      <c r="D16" s="127">
        <f>IF(Green!C16&lt;$N$4,0,IF(Green!C16&lt;=$D$2,650,IF(Green!C16&lt;=$E$2,1250,IF(Green!C16&lt;=$F$2,1850,IF(Green!C16&lt;=$G$2,2450,IF(Green!C16&lt;=$H$2,3050,IF(Green!C16&lt;=$I$2,3660,0)))))))</f>
        <v>0</v>
      </c>
      <c r="E16" s="127">
        <f t="shared" si="4"/>
        <v>0</v>
      </c>
      <c r="F16" s="127">
        <f t="shared" si="0"/>
        <v>0</v>
      </c>
      <c r="G16" s="37">
        <f>IF(Green!C8=B25,B28,IF(Green!C8=C25,C28,IF(Green!C8=D25,D28,IF(Green!C8=E25,E28,IF(Green!C8=F25,F28,IF(Green!C8=G25,G28,0))))))</f>
        <v>78.239999999999995</v>
      </c>
      <c r="I16" s="38">
        <f>IF(Green!$C$8=$B$25,S16,IF(Green!$C$8=$C$25,E16,IF(Green!$C$8=$D$25,S16,IF(Green!$C$8=$E$25,S16,IF(Green!$C$8=$F$25,S16,IF(Green!$C$8=$G$25,S16,0))))))</f>
        <v>0</v>
      </c>
      <c r="J16" s="37">
        <f>IF(Green!$C$8=$B$25,U16,IF(Green!$C$8=$C$25,G16,IF(Green!$C$8=$D$25,U16,IF(Green!$C$8=$E$25,U16,IF(Green!$C$8=$F$25,U16,IF(Green!$C$8=$G$25,U16,0))))))</f>
        <v>78.239999999999995</v>
      </c>
      <c r="K16" s="142">
        <f t="shared" si="1"/>
        <v>0</v>
      </c>
      <c r="L16" s="143">
        <f t="shared" si="2"/>
        <v>0</v>
      </c>
      <c r="M16" s="143">
        <f>P48</f>
        <v>0</v>
      </c>
      <c r="N16" s="144">
        <f t="shared" si="3"/>
        <v>0</v>
      </c>
      <c r="P16" s="126">
        <v>5</v>
      </c>
      <c r="Q16" s="127">
        <f>IF(Green!D16&lt;L7,0,IF(Green!D16&lt;=M7,Green!D16+50,IF(Green!D16&lt;=C6,650,IF(Green!D16&lt;=C7,1300,0))))</f>
        <v>0</v>
      </c>
      <c r="R16" s="127">
        <f>IF(Green!C16&lt;$N$4,0,IF(Green!C16&lt;=$D$2,650,IF(Green!C16&lt;=$E$2,1250,IF(Green!C16&lt;=$F$2,1850,IF(Green!C16&lt;=$G$2,2450,IF(Green!C16&lt;=$H$2,3050,0))))))</f>
        <v>0</v>
      </c>
      <c r="S16" s="127">
        <f>(Q16*R16)/1000000</f>
        <v>0</v>
      </c>
      <c r="T16" s="127">
        <f>(Q16+R16)*2/1000</f>
        <v>0</v>
      </c>
      <c r="U16" s="37">
        <f>IF(Green!C8=B25,B28,IF(Green!C8=C25,C28,IF(Green!C8=D25,D28,IF(Green!C8=E25,E28,IF(Green!C8=F25,F28,0)))))</f>
        <v>78.239999999999995</v>
      </c>
    </row>
    <row r="17" spans="1:21" s="12" customFormat="1" x14ac:dyDescent="0.25">
      <c r="B17" s="126">
        <v>6</v>
      </c>
      <c r="C17" s="127">
        <f>IF(Green!D17&lt;$L$7,0,IF(Green!D17&lt;=$M$7,Green!D17+50,IF(Green!D17&lt;=$C$3,600,IF(Green!D17&lt;=$C$4,1215,IF(Green!D17&lt;=$C$5,1830,0)))))</f>
        <v>0</v>
      </c>
      <c r="D17" s="127">
        <f>IF(Green!C17&lt;$N$4,0,IF(Green!C17&lt;=$D$2,650,IF(Green!C17&lt;=$E$2,1250,IF(Green!C17&lt;=$F$2,1850,IF(Green!C17&lt;=$G$2,2450,IF(Green!C17&lt;=$H$2,3050,IF(Green!C17&lt;=$I$2,3660,0)))))))</f>
        <v>0</v>
      </c>
      <c r="E17" s="127">
        <f t="shared" si="4"/>
        <v>0</v>
      </c>
      <c r="F17" s="127">
        <f t="shared" si="0"/>
        <v>0</v>
      </c>
      <c r="G17" s="37">
        <f>IF(Green!C8=B25,B28,IF(Green!C8=C25,C28,IF(Green!C8=D25,D28,IF(Green!C8=E25,E28,IF(Green!C8=F25,F28,IF(Green!C8=G25,G28,0))))))</f>
        <v>78.239999999999995</v>
      </c>
      <c r="I17" s="38">
        <f>IF(Green!$C$8=$B$25,S17,IF(Green!$C$8=$C$25,E17,IF(Green!$C$8=$D$25,S17,IF(Green!$C$8=$E$25,S17,IF(Green!$C$8=$F$25,S17,IF(Green!$C$8=$G$25,S17,0))))))</f>
        <v>0</v>
      </c>
      <c r="J17" s="37">
        <f>IF(Green!$C$8=$B$25,U17,IF(Green!$C$8=$C$25,G17,IF(Green!$C$8=$D$25,U17,IF(Green!$C$8=$E$25,U17,IF(Green!$C$8=$F$25,U17,IF(Green!$C$8=$G$25,U17,0))))))</f>
        <v>78.239999999999995</v>
      </c>
      <c r="K17" s="139">
        <f t="shared" si="1"/>
        <v>0</v>
      </c>
      <c r="L17" s="140"/>
      <c r="M17" s="140"/>
      <c r="N17" s="141"/>
      <c r="P17" s="126">
        <v>6</v>
      </c>
      <c r="Q17" s="127">
        <f>IF(Green!D17&lt;L7,0,IF(Green!D17&lt;=M7,Green!D17+50,IF(Green!D17&lt;=C6,650,IF(Green!D17&lt;=C7,1300,0))))</f>
        <v>0</v>
      </c>
      <c r="R17" s="127">
        <f>IF(Green!C17&lt;$N$4,0,IF(Green!C17&lt;=$D$2,650,IF(Green!C17&lt;=$E$2,1250,IF(Green!C17&lt;=$F$2,1850,IF(Green!C17&lt;=$G$2,2450,IF(Green!C17&lt;=$H$2,3050,0))))))</f>
        <v>0</v>
      </c>
      <c r="S17" s="127">
        <f t="shared" ref="S17:S21" si="5">(Q17*R17)/1000000</f>
        <v>0</v>
      </c>
      <c r="T17" s="127">
        <f t="shared" ref="T17:T21" si="6">(Q17+R17)*2/1000</f>
        <v>0</v>
      </c>
      <c r="U17" s="37">
        <f>IF(Green!C8=B25,B28,IF(Green!C8=C25,C28,IF(Green!C8=D25,D28,IF(Green!C8=E25,E28,IF(Green!C8=F25,F28,0)))))</f>
        <v>78.239999999999995</v>
      </c>
    </row>
    <row r="18" spans="1:21" s="12" customFormat="1" x14ac:dyDescent="0.25">
      <c r="B18" s="126">
        <v>7</v>
      </c>
      <c r="C18" s="127">
        <f>IF(Green!D18&lt;$L$7,0,IF(Green!D18&lt;=$M$7,Green!D18+50,IF(Green!D18&lt;=$C$3,600,IF(Green!D18&lt;=$C$4,1215,IF(Green!D18&lt;=$C$5,1830,0)))))</f>
        <v>0</v>
      </c>
      <c r="D18" s="127">
        <f>IF(Green!C18&lt;$N$4,0,IF(Green!C18&lt;=$D$2,650,IF(Green!C18&lt;=$E$2,1250,IF(Green!C18&lt;=$F$2,1850,IF(Green!C18&lt;=$G$2,2450,IF(Green!C18&lt;=$H$2,3050,IF(Green!C18&lt;=$I$2,3660,0)))))))</f>
        <v>0</v>
      </c>
      <c r="E18" s="127">
        <f t="shared" si="4"/>
        <v>0</v>
      </c>
      <c r="F18" s="127">
        <f t="shared" si="0"/>
        <v>0</v>
      </c>
      <c r="G18" s="37">
        <f>IF(Green!C8=B25,B28,IF(Green!C8=C25,C28,IF(Green!C8=D25,D28,IF(Green!C8=E25,E28,IF(Green!C8=F25,F28,IF(Green!C8=G25,G28,0))))))</f>
        <v>78.239999999999995</v>
      </c>
      <c r="I18" s="38">
        <f>IF(Green!$C$8=$B$25,S18,IF(Green!$C$8=$C$25,E18,IF(Green!$C$8=$D$25,S18,IF(Green!$C$8=$E$25,S18,IF(Green!$C$8=$F$25,S18,IF(Green!$C$8=$G$25,S18,0))))))</f>
        <v>0</v>
      </c>
      <c r="J18" s="37">
        <f>IF(Green!$C$8=$B$25,U18,IF(Green!$C$8=$C$25,G18,IF(Green!$C$8=$D$25,U18,IF(Green!$C$8=$E$25,U18,IF(Green!$C$8=$F$25,U18,IF(Green!$C$8=$G$25,U18,0))))))</f>
        <v>78.239999999999995</v>
      </c>
      <c r="K18" s="139">
        <f t="shared" si="1"/>
        <v>0</v>
      </c>
      <c r="L18" s="140"/>
      <c r="M18" s="140"/>
      <c r="N18" s="141"/>
      <c r="P18" s="126">
        <v>7</v>
      </c>
      <c r="Q18" s="127">
        <f>IF(Green!D18&lt;L7,0,IF(Green!D18&lt;=M7,Green!D18+50,IF(Green!D18&lt;=C6,650,IF(Green!D18&lt;=C7,1300,0))))</f>
        <v>0</v>
      </c>
      <c r="R18" s="127">
        <f>IF(Green!C18&lt;$N$4,0,IF(Green!C18&lt;=$D$2,650,IF(Green!C18&lt;=$E$2,1250,IF(Green!C18&lt;=$F$2,1850,IF(Green!C18&lt;=$G$2,2450,IF(Green!C18&lt;=$H$2,3050,0))))))</f>
        <v>0</v>
      </c>
      <c r="S18" s="127">
        <f t="shared" si="5"/>
        <v>0</v>
      </c>
      <c r="T18" s="127">
        <f t="shared" si="6"/>
        <v>0</v>
      </c>
      <c r="U18" s="37">
        <f>IF(Green!C8=B25,B28,IF(Green!C8=C25,C28,IF(Green!C8=D25,D28,IF(Green!C8=E25,E28,IF(Green!C8=F25,F28,0)))))</f>
        <v>78.239999999999995</v>
      </c>
    </row>
    <row r="19" spans="1:21" s="12" customFormat="1" x14ac:dyDescent="0.25">
      <c r="B19" s="126">
        <v>8</v>
      </c>
      <c r="C19" s="127">
        <f>IF(Green!D19&lt;$L$7,0,IF(Green!D19&lt;=$M$7,Green!D19+50,IF(Green!D19&lt;=$C$3,600,IF(Green!D19&lt;=$C$4,1215,IF(Green!D19&lt;=$C$5,1830,0)))))</f>
        <v>0</v>
      </c>
      <c r="D19" s="127">
        <f>IF(Green!C19&lt;$N$4,0,IF(Green!C19&lt;=$D$2,650,IF(Green!C19&lt;=$E$2,1250,IF(Green!C19&lt;=$F$2,1850,IF(Green!C19&lt;=$G$2,2450,IF(Green!C19&lt;=$H$2,3050,IF(Green!C19&lt;=$I$2,3660,0)))))))</f>
        <v>0</v>
      </c>
      <c r="E19" s="127">
        <f t="shared" si="4"/>
        <v>0</v>
      </c>
      <c r="F19" s="127">
        <f t="shared" si="0"/>
        <v>0</v>
      </c>
      <c r="G19" s="37">
        <f>IF(Green!C8=B25,B28,IF(Green!C8=C25,C28,IF(Green!C8=D25,D28,IF(Green!C8=E25,E28,IF(Green!C8=F25,F28,IF(Green!C8=G25,G28,0))))))</f>
        <v>78.239999999999995</v>
      </c>
      <c r="I19" s="38">
        <f>IF(Green!$C$8=$B$25,S19,IF(Green!$C$8=$C$25,E19,IF(Green!$C$8=$D$25,S19,IF(Green!$C$8=$E$25,S19,IF(Green!$C$8=$F$25,S19,IF(Green!$C$8=$G$25,S19,0))))))</f>
        <v>0</v>
      </c>
      <c r="J19" s="37">
        <f>IF(Green!$C$8=$B$25,U19,IF(Green!$C$8=$C$25,G19,IF(Green!$C$8=$D$25,U19,IF(Green!$C$8=$E$25,U19,IF(Green!$C$8=$F$25,U19,IF(Green!$C$8=$G$25,U19,0))))))</f>
        <v>78.239999999999995</v>
      </c>
      <c r="K19" s="139">
        <f t="shared" si="1"/>
        <v>0</v>
      </c>
      <c r="L19" s="140"/>
      <c r="M19" s="140"/>
      <c r="N19" s="141"/>
      <c r="P19" s="126">
        <v>8</v>
      </c>
      <c r="Q19" s="127">
        <f>IF(Green!D19&lt;L7,0,IF(Green!D19&lt;=M7,Green!D19+50,IF(Green!D19&lt;=C6,650,IF(Green!D19&lt;=C7,1300,0))))</f>
        <v>0</v>
      </c>
      <c r="R19" s="127">
        <f>IF(Green!C19&lt;$N$4,0,IF(Green!C19&lt;=$D$2,650,IF(Green!C19&lt;=$E$2,1250,IF(Green!C19&lt;=$F$2,1850,IF(Green!C19&lt;=$G$2,2450,IF(Green!C19&lt;=$H$2,3050,0))))))</f>
        <v>0</v>
      </c>
      <c r="S19" s="127">
        <f t="shared" si="5"/>
        <v>0</v>
      </c>
      <c r="T19" s="127">
        <f t="shared" si="6"/>
        <v>0</v>
      </c>
      <c r="U19" s="37">
        <f>IF(Green!C8=B25,B28,IF(Green!C8=C25,C28,IF(Green!C8=D25,D28,IF(Green!C8=E25,E28,IF(Green!C8=F25,F28,0)))))</f>
        <v>78.239999999999995</v>
      </c>
    </row>
    <row r="20" spans="1:21" s="12" customFormat="1" x14ac:dyDescent="0.25">
      <c r="B20" s="126">
        <v>9</v>
      </c>
      <c r="C20" s="127">
        <f>IF(Green!D20&lt;$L$7,0,IF(Green!D20&lt;=$M$7,Green!D20+50,IF(Green!D20&lt;=$C$3,600,IF(Green!D20&lt;=$C$4,1215,IF(Green!D20&lt;=$C$5,1830,0)))))</f>
        <v>0</v>
      </c>
      <c r="D20" s="127">
        <f>IF(Green!C20&lt;$N$4,0,IF(Green!C20&lt;=$D$2,650,IF(Green!C20&lt;=$E$2,1250,IF(Green!C20&lt;=$F$2,1850,IF(Green!C20&lt;=$G$2,2450,IF(Green!C20&lt;=$H$2,3050,IF(Green!C20&lt;=$I$2,3660,0)))))))</f>
        <v>0</v>
      </c>
      <c r="E20" s="127">
        <f t="shared" si="4"/>
        <v>0</v>
      </c>
      <c r="F20" s="127">
        <f t="shared" si="0"/>
        <v>0</v>
      </c>
      <c r="G20" s="37">
        <f>IF(Green!C8=B25,B28,IF(Green!C8=C25,C28,IF(Green!C8=D25,D28,IF(Green!C8=E25,E28,IF(Green!C8=F25,F28,IF(Green!C8=G25,G28,0))))))</f>
        <v>78.239999999999995</v>
      </c>
      <c r="I20" s="38">
        <f>IF(Green!$C$8=$B$25,S20,IF(Green!$C$8=$C$25,E20,IF(Green!$C$8=$D$25,S20,IF(Green!$C$8=$E$25,S20,IF(Green!$C$8=$F$25,S20,IF(Green!$C$8=$G$25,S20,0))))))</f>
        <v>0</v>
      </c>
      <c r="J20" s="37">
        <f>IF(Green!$C$8=$B$25,U20,IF(Green!$C$8=$C$25,G20,IF(Green!$C$8=$D$25,U20,IF(Green!$C$8=$E$25,U20,IF(Green!$C$8=$F$25,U20,IF(Green!$C$8=$G$25,U20,0))))))</f>
        <v>78.239999999999995</v>
      </c>
      <c r="K20" s="139">
        <f t="shared" si="1"/>
        <v>0</v>
      </c>
      <c r="L20" s="140"/>
      <c r="M20" s="140"/>
      <c r="N20" s="141"/>
      <c r="P20" s="126">
        <v>9</v>
      </c>
      <c r="Q20" s="127">
        <f>IF(Green!D20&lt;L7,0,IF(Green!D20&lt;=M7,Green!D20+50,IF(Green!D20&lt;=C6,650,IF(Green!D20&lt;=C7,1300,0))))</f>
        <v>0</v>
      </c>
      <c r="R20" s="127">
        <f>IF(Green!C20&lt;$N$4,0,IF(Green!C20&lt;=$D$2,650,IF(Green!C20&lt;=$E$2,1250,IF(Green!C20&lt;=$F$2,1850,IF(Green!C20&lt;=$G$2,2450,IF(Green!C20&lt;=$H$2,3050,0))))))</f>
        <v>0</v>
      </c>
      <c r="S20" s="127">
        <f t="shared" si="5"/>
        <v>0</v>
      </c>
      <c r="T20" s="127">
        <f t="shared" si="6"/>
        <v>0</v>
      </c>
      <c r="U20" s="37">
        <f>IF(Green!C8=B25,B28,IF(Green!C8=C25,C28,IF(Green!C8=D25,D28,IF(Green!C8=E25,E28,IF(Green!C8=F25,F28,0)))))</f>
        <v>78.239999999999995</v>
      </c>
    </row>
    <row r="21" spans="1:21" s="12" customFormat="1" ht="15.75" thickBot="1" x14ac:dyDescent="0.3">
      <c r="B21" s="126">
        <v>10</v>
      </c>
      <c r="C21" s="127">
        <f>IF(Green!D21&lt;$L$7,0,IF(Green!D21&lt;=$M$7,Green!D21+50,IF(Green!D21&lt;=$C$3,600,IF(Green!D21&lt;=$C$4,1215,IF(Green!D21&lt;=$C$5,1830,0)))))</f>
        <v>0</v>
      </c>
      <c r="D21" s="127">
        <f>IF(Green!C21&lt;$N$4,0,IF(Green!C21&lt;=$D$2,650,IF(Green!C21&lt;=$E$2,1250,IF(Green!C21&lt;=$F$2,1850,IF(Green!C21&lt;=$G$2,2450,IF(Green!C21&lt;=$H$2,3050,IF(Green!C21&lt;=$I$2,3660,0)))))))</f>
        <v>0</v>
      </c>
      <c r="E21" s="127">
        <f t="shared" si="4"/>
        <v>0</v>
      </c>
      <c r="F21" s="127">
        <f t="shared" si="0"/>
        <v>0</v>
      </c>
      <c r="G21" s="37">
        <f>IF(Green!C8=B25,B28,IF(Green!C8=C25,C28,IF(Green!C8=D25,D28,IF(Green!C8=E25,E28,IF(Green!C8=F25,F28,IF(Green!C8=G25,G28,0))))))</f>
        <v>78.239999999999995</v>
      </c>
      <c r="I21" s="42">
        <f>IF(Green!$C$8=$B$25,S21,IF(Green!$C$8=$C$25,E21,IF(Green!$C$8=$D$25,S21,IF(Green!$C$8=$E$25,S21,IF(Green!$C$8=$F$25,S21,IF(Green!$C$8=$G$25,S21,0))))))</f>
        <v>0</v>
      </c>
      <c r="J21" s="43">
        <f>IF(Green!$C$8=$B$25,U21,IF(Green!$C$8=$C$25,G21,IF(Green!$C$8=$D$25,U21,IF(Green!$C$8=$E$25,U21,IF(Green!$C$8=$F$25,U21,IF(Green!$C$8=$G$25,U21,0))))))</f>
        <v>78.239999999999995</v>
      </c>
      <c r="K21" s="145">
        <f t="shared" si="1"/>
        <v>0</v>
      </c>
      <c r="L21" s="146"/>
      <c r="M21" s="146"/>
      <c r="N21" s="147"/>
      <c r="P21" s="126">
        <v>10</v>
      </c>
      <c r="Q21" s="127">
        <f>IF(Green!D21&lt;L7,0,IF(Green!D21&lt;=M7,Green!D21+50,IF(Green!D21&lt;=C6,650,IF(Green!D21&lt;=C7,1300,0))))</f>
        <v>0</v>
      </c>
      <c r="R21" s="127">
        <f>IF(Green!C21&lt;$N$4,0,IF(Green!C21&lt;=$D$2,650,IF(Green!C21&lt;=$E$2,1250,IF(Green!C21&lt;=$F$2,1850,IF(Green!C21&lt;=$G$2,2450,IF(Green!C21&lt;=$H$2,3050,0))))))</f>
        <v>0</v>
      </c>
      <c r="S21" s="127">
        <f t="shared" si="5"/>
        <v>0</v>
      </c>
      <c r="T21" s="127">
        <f t="shared" si="6"/>
        <v>0</v>
      </c>
      <c r="U21" s="37">
        <f>IF(Green!C8=B25,B28,IF(Green!C8=C25,C28,IF(Green!C8=D25,D28,IF(Green!C8=E25,E28,IF(Green!C8=F25,F28,0)))))</f>
        <v>78.239999999999995</v>
      </c>
    </row>
    <row r="22" spans="1:21" s="12" customFormat="1" x14ac:dyDescent="0.25"/>
    <row r="23" spans="1:21" s="12" customFormat="1" ht="15.75" thickBot="1" x14ac:dyDescent="0.3"/>
    <row r="24" spans="1:21" s="12" customFormat="1" ht="60.75" customHeight="1" thickBot="1" x14ac:dyDescent="0.3">
      <c r="A24" s="47"/>
      <c r="B24" s="48" t="s">
        <v>56</v>
      </c>
      <c r="C24" s="48" t="s">
        <v>73</v>
      </c>
      <c r="D24" s="48"/>
      <c r="E24" s="48"/>
      <c r="F24" s="48"/>
      <c r="G24" s="48" t="s">
        <v>12</v>
      </c>
      <c r="L24" s="49"/>
      <c r="N24" s="50" t="s">
        <v>63</v>
      </c>
      <c r="O24" s="51" t="s">
        <v>65</v>
      </c>
    </row>
    <row r="25" spans="1:21" s="1" customFormat="1" ht="57" thickBot="1" x14ac:dyDescent="0.3">
      <c r="A25" s="52"/>
      <c r="B25" s="48" t="s">
        <v>97</v>
      </c>
      <c r="C25" s="48" t="s">
        <v>115</v>
      </c>
      <c r="D25" s="48" t="s">
        <v>116</v>
      </c>
      <c r="E25" s="48" t="s">
        <v>117</v>
      </c>
      <c r="F25" s="48" t="s">
        <v>113</v>
      </c>
      <c r="G25" s="48"/>
      <c r="L25" s="53"/>
      <c r="M25" s="54"/>
      <c r="N25" s="55">
        <v>16</v>
      </c>
      <c r="O25" s="148">
        <f>ДАТ!O25</f>
        <v>1.6</v>
      </c>
    </row>
    <row r="26" spans="1:21" s="1" customFormat="1" ht="33.75" x14ac:dyDescent="0.25">
      <c r="A26" s="52"/>
      <c r="B26" s="57" t="s">
        <v>98</v>
      </c>
      <c r="C26" s="57" t="s">
        <v>99</v>
      </c>
      <c r="D26" s="48">
        <v>5575</v>
      </c>
      <c r="E26" s="48">
        <v>5574</v>
      </c>
      <c r="F26" s="57" t="s">
        <v>114</v>
      </c>
      <c r="G26" s="57"/>
      <c r="L26" s="58"/>
    </row>
    <row r="27" spans="1:21" s="1" customFormat="1" x14ac:dyDescent="0.25">
      <c r="A27" s="59"/>
      <c r="B27" s="130">
        <v>1300</v>
      </c>
      <c r="C27" s="130">
        <v>1830</v>
      </c>
      <c r="D27" s="130">
        <v>1300</v>
      </c>
      <c r="E27" s="130">
        <v>1300</v>
      </c>
      <c r="F27" s="130">
        <v>1300</v>
      </c>
      <c r="G27" s="130"/>
      <c r="L27" s="58"/>
    </row>
    <row r="28" spans="1:21" s="12" customFormat="1" ht="15.75" x14ac:dyDescent="0.25">
      <c r="B28" s="61">
        <v>121.44</v>
      </c>
      <c r="C28" s="61">
        <v>78.239999999999995</v>
      </c>
      <c r="D28" s="61">
        <v>85.44</v>
      </c>
      <c r="E28" s="61">
        <v>181.92</v>
      </c>
      <c r="F28" s="61">
        <v>85.44</v>
      </c>
      <c r="G28" s="61"/>
    </row>
    <row r="29" spans="1:21" s="12" customFormat="1" x14ac:dyDescent="0.25">
      <c r="B29" s="232" t="s">
        <v>17</v>
      </c>
      <c r="C29" s="232"/>
      <c r="D29" s="232"/>
      <c r="E29" s="232"/>
      <c r="F29" s="232"/>
      <c r="G29" s="232"/>
    </row>
    <row r="30" spans="1:21" s="12" customFormat="1" x14ac:dyDescent="0.25">
      <c r="B30" s="233" t="s">
        <v>18</v>
      </c>
      <c r="C30" s="233"/>
      <c r="D30" s="233"/>
      <c r="E30" s="233"/>
      <c r="F30" s="233"/>
      <c r="G30" s="233"/>
    </row>
    <row r="31" spans="1:21" s="12" customFormat="1" x14ac:dyDescent="0.25"/>
    <row r="32" spans="1:21" s="12" customFormat="1" ht="15.75" thickBot="1" x14ac:dyDescent="0.3"/>
    <row r="33" spans="2:17" s="12" customFormat="1" ht="15.75" thickBot="1" x14ac:dyDescent="0.3">
      <c r="B33" s="226" t="s">
        <v>30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8"/>
    </row>
    <row r="34" spans="2:17" s="12" customFormat="1" ht="45.75" thickBot="1" x14ac:dyDescent="0.3">
      <c r="B34" s="62" t="s">
        <v>0</v>
      </c>
      <c r="C34" s="63" t="s">
        <v>5</v>
      </c>
      <c r="D34" s="63" t="s">
        <v>4</v>
      </c>
      <c r="E34" s="63" t="s">
        <v>8</v>
      </c>
      <c r="F34" s="63" t="s">
        <v>7</v>
      </c>
      <c r="G34" s="63" t="s">
        <v>11</v>
      </c>
      <c r="H34" s="64" t="s">
        <v>19</v>
      </c>
      <c r="I34" s="62" t="s">
        <v>5</v>
      </c>
      <c r="J34" s="63" t="s">
        <v>4</v>
      </c>
      <c r="K34" s="65" t="s">
        <v>20</v>
      </c>
      <c r="L34" s="63" t="s">
        <v>8</v>
      </c>
      <c r="M34" s="66" t="s">
        <v>7</v>
      </c>
      <c r="N34" s="67" t="s">
        <v>58</v>
      </c>
      <c r="O34" s="63" t="s">
        <v>21</v>
      </c>
      <c r="P34" s="68" t="s">
        <v>22</v>
      </c>
      <c r="Q34" s="69" t="s">
        <v>29</v>
      </c>
    </row>
    <row r="35" spans="2:17" s="12" customFormat="1" ht="15" customHeight="1" x14ac:dyDescent="0.25">
      <c r="B35" s="222" t="str">
        <f>Green!C8</f>
        <v>SUE (шагрень), черная сердцевина, 12 мм</v>
      </c>
      <c r="C35" s="70">
        <f>IF(Green!C8=B25,B27,IF(Green!C8=C25,C27,IF(Green!C8=D25,D27,IF(Green!C8=E25,E27,IF(Green!C8=F25,F27,IF(Green!C8=G25,G27,0))))))</f>
        <v>1830</v>
      </c>
      <c r="D35" s="70">
        <v>4100</v>
      </c>
      <c r="E35" s="70">
        <f>(C35*D35)/1000000</f>
        <v>7.5030000000000001</v>
      </c>
      <c r="F35" s="70">
        <f>(C35+D35)*2/1000</f>
        <v>11.86</v>
      </c>
      <c r="G35" s="71">
        <f>IF(Green!C8=B25,B28,IF(Green!C8=C25,C28,IF(Green!C8=D25,D28,IF(Green!C8=E25,E28,IF(Green!C8=F25,F28,IF(Green!C8=G25,G28,0))))))</f>
        <v>78.239999999999995</v>
      </c>
      <c r="H35" s="35">
        <f>E35*G35</f>
        <v>587.03471999999999</v>
      </c>
      <c r="I35" s="33">
        <f>IF(Green!D12&lt;L5,0,IF(Green!D12&lt;=M5,Green!D12,0))</f>
        <v>0</v>
      </c>
      <c r="J35" s="70">
        <f>IF(Green!C12&lt;N5,0,IF(Green!C12&lt;=O5,Green!C12,0))</f>
        <v>0</v>
      </c>
      <c r="K35" s="72">
        <f>IF(I35=0,0,IF(J35=0,0,(ROUNDDOWN(C35/(I35+6),0))*(ROUNDDOWN(D35/(J35+6),0))))</f>
        <v>0</v>
      </c>
      <c r="L35" s="70">
        <f>(I35*J35)*K35/1000000</f>
        <v>0</v>
      </c>
      <c r="M35" s="73">
        <f>(I35+J35)*2*K35/1000</f>
        <v>0</v>
      </c>
      <c r="N35" s="74">
        <v>16</v>
      </c>
      <c r="O35" s="71">
        <f>M35*N35</f>
        <v>0</v>
      </c>
      <c r="P35" s="75">
        <f>IF(I35=0,0,IF(J35=0,0,IF(K35=0,0,ROUNDUP((H35+O35)/K35,0))))</f>
        <v>0</v>
      </c>
      <c r="Q35" s="76">
        <f>IF(I35=0,0,IF(J35=0,0,ROUNDUP((G35*I35*J35/1000000)+(I35+J35)*2*N35/1000,0)))</f>
        <v>0</v>
      </c>
    </row>
    <row r="36" spans="2:17" s="12" customFormat="1" x14ac:dyDescent="0.25">
      <c r="B36" s="222"/>
      <c r="C36" s="127">
        <f>IF(Green!C8=B25,B27,IF(Green!C8=C25,C27,IF(Green!C8=D25,D27,IF(Green!C8=E25,E27,IF(Green!C8=F25,F27,IF(Green!C8=G25,G27,0))))))</f>
        <v>1830</v>
      </c>
      <c r="D36" s="127">
        <v>4100</v>
      </c>
      <c r="E36" s="70">
        <f t="shared" ref="E36:E39" si="7">(C36*D36)/1000000</f>
        <v>7.5030000000000001</v>
      </c>
      <c r="F36" s="70">
        <f t="shared" ref="F36:F39" si="8">(C36+D36)*2/1000</f>
        <v>11.86</v>
      </c>
      <c r="G36" s="71">
        <f>IF(Green!C8=B25,B28,IF(Green!C8=C25,C28,IF(Green!C8=D25,D28,IF(Green!C8=E25,E28,IF(Green!C8=F25,F28,IF(Green!C8=G25,G28,0))))))</f>
        <v>78.239999999999995</v>
      </c>
      <c r="H36" s="35">
        <f t="shared" ref="H36:H39" si="9">E36*G36</f>
        <v>587.03471999999999</v>
      </c>
      <c r="I36" s="38">
        <f>IF(Green!D13&lt;L5,0,IF(Green!D13&lt;=M5,Green!D13,0))</f>
        <v>0</v>
      </c>
      <c r="J36" s="127">
        <f>IF(Green!C13&lt;N5,0,IF(Green!C13&lt;=O5,Green!C13,0))</f>
        <v>0</v>
      </c>
      <c r="K36" s="125">
        <f t="shared" ref="K36:K39" si="10">IF(I36=0,0,IF(J36=0,0,(ROUNDDOWN(C36/(I36+6),0))*(ROUNDDOWN(D36/(J36+6),0))))</f>
        <v>0</v>
      </c>
      <c r="L36" s="127">
        <f t="shared" ref="L36:L39" si="11">(I36*J36)*K36/1000000</f>
        <v>0</v>
      </c>
      <c r="M36" s="78">
        <f t="shared" ref="M36:M39" si="12">(I36+J36)*2*K36/1000</f>
        <v>0</v>
      </c>
      <c r="N36" s="74">
        <v>16</v>
      </c>
      <c r="O36" s="37">
        <f t="shared" ref="O36:O39" si="13">M36*N36</f>
        <v>0</v>
      </c>
      <c r="P36" s="79">
        <f t="shared" ref="P36:P39" si="14">IF(I36=0,0,IF(J36=0,0,IF(K36=0,0,ROUNDUP((H36+O36)/K36,0))))</f>
        <v>0</v>
      </c>
      <c r="Q36" s="80">
        <f t="shared" ref="Q36:Q39" si="15">IF(I36=0,0,IF(J36=0,0,ROUNDUP((G36*I36*J36/1000000)+(I36+J36)*2*N36/1000,0)))</f>
        <v>0</v>
      </c>
    </row>
    <row r="37" spans="2:17" s="12" customFormat="1" x14ac:dyDescent="0.25">
      <c r="B37" s="222"/>
      <c r="C37" s="127">
        <f>IF(Green!C8=B25,B27,IF(Green!C8=C25,C27,IF(Green!C8=D25,D27,IF(Green!C8=E25,E27,IF(Green!C8=F25,F27,IF(Green!C8=G25,G27,0))))))</f>
        <v>1830</v>
      </c>
      <c r="D37" s="127">
        <v>4100</v>
      </c>
      <c r="E37" s="70">
        <f t="shared" si="7"/>
        <v>7.5030000000000001</v>
      </c>
      <c r="F37" s="70">
        <f t="shared" si="8"/>
        <v>11.86</v>
      </c>
      <c r="G37" s="71">
        <f>IF(Green!C8=B25,B28,IF(Green!C8=C25,C28,IF(Green!C8=D25,D28,IF(Green!C8=E25,E28,IF(Green!C8=F25,F28,IF(Green!C8=G25,G28,0))))))</f>
        <v>78.239999999999995</v>
      </c>
      <c r="H37" s="35">
        <f t="shared" si="9"/>
        <v>587.03471999999999</v>
      </c>
      <c r="I37" s="38">
        <f>IF(Green!D14&lt;L5,0,IF(Green!D14&lt;=M5,Green!D14,0))</f>
        <v>0</v>
      </c>
      <c r="J37" s="127">
        <f>IF(Green!C14&lt;N5,0,IF(Green!C14&lt;=O5,Green!C14,0))</f>
        <v>0</v>
      </c>
      <c r="K37" s="125">
        <f t="shared" si="10"/>
        <v>0</v>
      </c>
      <c r="L37" s="127">
        <f t="shared" si="11"/>
        <v>0</v>
      </c>
      <c r="M37" s="78">
        <f t="shared" si="12"/>
        <v>0</v>
      </c>
      <c r="N37" s="74">
        <v>16</v>
      </c>
      <c r="O37" s="37">
        <f>M37*N37</f>
        <v>0</v>
      </c>
      <c r="P37" s="79">
        <f t="shared" si="14"/>
        <v>0</v>
      </c>
      <c r="Q37" s="80">
        <f t="shared" si="15"/>
        <v>0</v>
      </c>
    </row>
    <row r="38" spans="2:17" s="12" customFormat="1" x14ac:dyDescent="0.25">
      <c r="B38" s="222"/>
      <c r="C38" s="127">
        <f>IF(Green!C8=B25,B27,IF(Green!C8=C25,C27,IF(Green!C8=D25,D27,IF(Green!C8=E25,E27,IF(Green!C8=F25,F27,IF(Green!C8=G25,G27,0))))))</f>
        <v>1830</v>
      </c>
      <c r="D38" s="127">
        <v>4100</v>
      </c>
      <c r="E38" s="70">
        <f t="shared" si="7"/>
        <v>7.5030000000000001</v>
      </c>
      <c r="F38" s="70">
        <f t="shared" si="8"/>
        <v>11.86</v>
      </c>
      <c r="G38" s="71">
        <f>IF(Green!C8=B25,B28,IF(Green!C8=C25,C28,IF(Green!C8=D25,D28,IF(Green!C8=E25,E28,IF(Green!C8=F25,F28,IF(Green!C8=G25,G28,0))))))</f>
        <v>78.239999999999995</v>
      </c>
      <c r="H38" s="35">
        <f t="shared" si="9"/>
        <v>587.03471999999999</v>
      </c>
      <c r="I38" s="38">
        <f>IF(Green!D15&lt;L5,0,IF(Green!D15&lt;=M5,Green!D15,0))</f>
        <v>0</v>
      </c>
      <c r="J38" s="127">
        <f>IF(Green!C15&lt;N5,0,IF(Green!C15&lt;=O5,Green!C15,0))</f>
        <v>0</v>
      </c>
      <c r="K38" s="125">
        <f t="shared" si="10"/>
        <v>0</v>
      </c>
      <c r="L38" s="127">
        <f t="shared" si="11"/>
        <v>0</v>
      </c>
      <c r="M38" s="78">
        <f t="shared" si="12"/>
        <v>0</v>
      </c>
      <c r="N38" s="74">
        <v>16</v>
      </c>
      <c r="O38" s="37">
        <f t="shared" si="13"/>
        <v>0</v>
      </c>
      <c r="P38" s="79">
        <f t="shared" si="14"/>
        <v>0</v>
      </c>
      <c r="Q38" s="80">
        <f t="shared" si="15"/>
        <v>0</v>
      </c>
    </row>
    <row r="39" spans="2:17" s="12" customFormat="1" ht="15.75" thickBot="1" x14ac:dyDescent="0.3">
      <c r="B39" s="223"/>
      <c r="C39" s="81">
        <f>IF(Green!C8=B25,B27,IF(Green!C8=C25,C27,IF(Green!C8=D25,D27,IF(Green!C8=E25,E27,IF(Green!C8=F25,F27,IF(Green!C8=G25,G27,0))))))</f>
        <v>1830</v>
      </c>
      <c r="D39" s="81">
        <v>4100</v>
      </c>
      <c r="E39" s="82">
        <f t="shared" si="7"/>
        <v>7.5030000000000001</v>
      </c>
      <c r="F39" s="82">
        <f t="shared" si="8"/>
        <v>11.86</v>
      </c>
      <c r="G39" s="83">
        <f>IF(Green!C8=B25,B28,IF(Green!C8=C25,C28,IF(Green!C8=D25,D28,IF(Green!C8=E25,E28,IF(Green!C8=F25,F28,IF(Green!C8=G25,G28,0))))))</f>
        <v>78.239999999999995</v>
      </c>
      <c r="H39" s="84">
        <f t="shared" si="9"/>
        <v>587.03471999999999</v>
      </c>
      <c r="I39" s="42">
        <f>IF(Green!D16&lt;L5,0,IF(Green!D16&lt;=M5,Green!D16,0))</f>
        <v>0</v>
      </c>
      <c r="J39" s="81">
        <f>IF(Green!C16&lt;N5,0,IF(Green!C16&lt;=O5,Green!C16,0))</f>
        <v>0</v>
      </c>
      <c r="K39" s="85">
        <f t="shared" si="10"/>
        <v>0</v>
      </c>
      <c r="L39" s="81">
        <f t="shared" si="11"/>
        <v>0</v>
      </c>
      <c r="M39" s="86">
        <f t="shared" si="12"/>
        <v>0</v>
      </c>
      <c r="N39" s="74">
        <v>16</v>
      </c>
      <c r="O39" s="43">
        <f t="shared" si="13"/>
        <v>0</v>
      </c>
      <c r="P39" s="87">
        <f t="shared" si="14"/>
        <v>0</v>
      </c>
      <c r="Q39" s="88">
        <f t="shared" si="15"/>
        <v>0</v>
      </c>
    </row>
    <row r="40" spans="2:17" s="12" customFormat="1" x14ac:dyDescent="0.25"/>
    <row r="41" spans="2:17" s="12" customFormat="1" ht="15.75" thickBot="1" x14ac:dyDescent="0.3"/>
    <row r="42" spans="2:17" s="12" customFormat="1" ht="15.75" thickBot="1" x14ac:dyDescent="0.3">
      <c r="B42" s="226" t="s">
        <v>28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</row>
    <row r="43" spans="2:17" s="12" customFormat="1" ht="45.75" thickBot="1" x14ac:dyDescent="0.3">
      <c r="B43" s="62" t="s">
        <v>0</v>
      </c>
      <c r="C43" s="63" t="s">
        <v>5</v>
      </c>
      <c r="D43" s="63" t="s">
        <v>4</v>
      </c>
      <c r="E43" s="63" t="s">
        <v>8</v>
      </c>
      <c r="F43" s="63" t="s">
        <v>7</v>
      </c>
      <c r="G43" s="63" t="s">
        <v>11</v>
      </c>
      <c r="H43" s="64" t="s">
        <v>19</v>
      </c>
      <c r="I43" s="62" t="s">
        <v>5</v>
      </c>
      <c r="J43" s="63" t="s">
        <v>4</v>
      </c>
      <c r="K43" s="65" t="s">
        <v>20</v>
      </c>
      <c r="L43" s="63" t="s">
        <v>8</v>
      </c>
      <c r="M43" s="66" t="s">
        <v>7</v>
      </c>
      <c r="N43" s="67" t="s">
        <v>58</v>
      </c>
      <c r="O43" s="63" t="s">
        <v>21</v>
      </c>
      <c r="P43" s="68" t="s">
        <v>22</v>
      </c>
      <c r="Q43" s="69" t="s">
        <v>29</v>
      </c>
    </row>
    <row r="44" spans="2:17" s="12" customFormat="1" ht="15" customHeight="1" x14ac:dyDescent="0.25">
      <c r="B44" s="222" t="str">
        <f>Green!C8</f>
        <v>SUE (шагрень), черная сердцевина, 12 мм</v>
      </c>
      <c r="C44" s="70">
        <f>IF(Green!C8=B25,B27,IF(Green!C8=C25,C27,IF(Green!C8=D25,D27,IF(Green!C8=E25,E27,IF(Green!C8=F25,F27,IF(Green!C8=G25,G27,0))))))</f>
        <v>1830</v>
      </c>
      <c r="D44" s="70">
        <v>4100</v>
      </c>
      <c r="E44" s="70">
        <f>(C44*D44)/1000000</f>
        <v>7.5030000000000001</v>
      </c>
      <c r="F44" s="70">
        <f>(C44+D44)*2/1000</f>
        <v>11.86</v>
      </c>
      <c r="G44" s="71">
        <f>IF(Green!C8=B25,B28,IF(Green!C8=C25,C28,IF(Green!C8=D25,D28,IF(Green!C8=E25,E28,IF(Green!C8=F25,F28,IF(Green!C8=G25,G28,0))))))</f>
        <v>78.239999999999995</v>
      </c>
      <c r="H44" s="35">
        <f>E44*G44</f>
        <v>587.03471999999999</v>
      </c>
      <c r="I44" s="33">
        <f>IF(Green!D12&lt;L6,0,IF(Green!D12&lt;=M6,Green!D12,0))</f>
        <v>0</v>
      </c>
      <c r="J44" s="70">
        <f>IF(Green!C12&lt;N6,0,IF(Green!C12&lt;=O6,Green!C12,0))</f>
        <v>0</v>
      </c>
      <c r="K44" s="72">
        <f>IF(I44=0,0,IF(J44=0,0,(ROUNDDOWN(C44/(I44+6),0))*(ROUNDDOWN(D44/(J44+6),0))))</f>
        <v>0</v>
      </c>
      <c r="L44" s="70">
        <f>(I44*J44)*K44/1000000</f>
        <v>0</v>
      </c>
      <c r="M44" s="73">
        <f>(I44+J44)*2*K44/1000</f>
        <v>0</v>
      </c>
      <c r="N44" s="74">
        <v>12</v>
      </c>
      <c r="O44" s="71">
        <f>M44*N44</f>
        <v>0</v>
      </c>
      <c r="P44" s="75">
        <f>IF(I44=0,0,IF(J44=0,0,IF(K44=0,0,ROUNDUP((H44+O44)/K44,0))))</f>
        <v>0</v>
      </c>
      <c r="Q44" s="76">
        <f>IF(I44=0,0,IF(J44=0,0,ROUNDUP((G44*I44*J44/1000000)+(I44+J44)*2*N44/1000,0)))</f>
        <v>0</v>
      </c>
    </row>
    <row r="45" spans="2:17" s="12" customFormat="1" x14ac:dyDescent="0.25">
      <c r="B45" s="222"/>
      <c r="C45" s="127">
        <f>IF(Green!C8=B25,B27,IF(Green!C8=C25,C27,IF(Green!C8=D25,D27,IF(Green!C8=E25,E27,IF(Green!C8=F25,F27,IF(Green!C8=G25,G27,0))))))</f>
        <v>1830</v>
      </c>
      <c r="D45" s="127">
        <v>4100</v>
      </c>
      <c r="E45" s="127">
        <f t="shared" ref="E45:E48" si="16">(C45*D45)/1000000</f>
        <v>7.5030000000000001</v>
      </c>
      <c r="F45" s="127">
        <f t="shared" ref="F45:F48" si="17">(C45+D45)*2/1000</f>
        <v>11.86</v>
      </c>
      <c r="G45" s="37">
        <f>IF(Green!C8=B25,B28,IF(Green!C8=C25,C28,IF(Green!C8=D25,D28,IF(Green!C8=E25,E28,IF(Green!C8=F25,F28,IF(Green!C8=G25,G28,0))))))</f>
        <v>78.239999999999995</v>
      </c>
      <c r="H45" s="39">
        <f t="shared" ref="H45:H48" si="18">E45*G45</f>
        <v>587.03471999999999</v>
      </c>
      <c r="I45" s="38">
        <f>IF(Green!D13&lt;L6,0,IF(Green!D13&lt;=M6,Green!D13,0))</f>
        <v>0</v>
      </c>
      <c r="J45" s="127">
        <f>IF(Green!C13&lt;N6,0,IF(Green!C13&lt;=O6,Green!C13,0))</f>
        <v>0</v>
      </c>
      <c r="K45" s="125">
        <f t="shared" ref="K45:K48" si="19">IF(I45=0,0,IF(J45=0,0,(ROUNDDOWN(C45/(I45+6),0))*(ROUNDDOWN(D45/(J45+6),0))))</f>
        <v>0</v>
      </c>
      <c r="L45" s="127">
        <f t="shared" ref="L45:L48" si="20">(I45*J45)*K45/1000000</f>
        <v>0</v>
      </c>
      <c r="M45" s="78">
        <f t="shared" ref="M45:M48" si="21">(I45+J45)*2*K45/1000</f>
        <v>0</v>
      </c>
      <c r="N45" s="74">
        <v>12</v>
      </c>
      <c r="O45" s="37">
        <f t="shared" ref="O45:O48" si="22">M45*N45</f>
        <v>0</v>
      </c>
      <c r="P45" s="79">
        <f t="shared" ref="P45:P48" si="23">IF(I45=0,0,IF(J45=0,0,IF(K45=0,0,ROUNDUP((H45+O45)/K45,0))))</f>
        <v>0</v>
      </c>
      <c r="Q45" s="80">
        <f t="shared" ref="Q45:Q48" si="24">IF(I45=0,0,IF(J45=0,0,ROUNDUP((G45*I45*J45/1000000)+(I45+J45)*2*N45/1000,0)))</f>
        <v>0</v>
      </c>
    </row>
    <row r="46" spans="2:17" s="12" customFormat="1" x14ac:dyDescent="0.25">
      <c r="B46" s="222"/>
      <c r="C46" s="127">
        <f>IF(Green!C8=B25,B27,IF(Green!C8=C25,C27,IF(Green!C8=D25,D27,IF(Green!C8=E25,E27,IF(Green!C8=F25,F27,IF(Green!C8=G25,G27,0))))))</f>
        <v>1830</v>
      </c>
      <c r="D46" s="127">
        <v>4100</v>
      </c>
      <c r="E46" s="127">
        <f t="shared" si="16"/>
        <v>7.5030000000000001</v>
      </c>
      <c r="F46" s="127">
        <f t="shared" si="17"/>
        <v>11.86</v>
      </c>
      <c r="G46" s="37">
        <f>IF(Green!C8=B25,B28,IF(Green!C8=C25,C28,IF(Green!C8=D25,D28,IF(Green!C8=E25,E28,IF(Green!C8=F25,F28,IF(Green!C8=G25,G28,0))))))</f>
        <v>78.239999999999995</v>
      </c>
      <c r="H46" s="39">
        <f t="shared" si="18"/>
        <v>587.03471999999999</v>
      </c>
      <c r="I46" s="38">
        <f>IF(Green!D14&lt;L6,0,IF(Green!D14&lt;=M6,Green!D14,0))</f>
        <v>0</v>
      </c>
      <c r="J46" s="127">
        <f>IF(Green!C14&lt;N6,0,IF(Green!C14&lt;=O6,Green!C14,0))</f>
        <v>0</v>
      </c>
      <c r="K46" s="125">
        <f t="shared" si="19"/>
        <v>0</v>
      </c>
      <c r="L46" s="127">
        <f t="shared" si="20"/>
        <v>0</v>
      </c>
      <c r="M46" s="78">
        <f t="shared" si="21"/>
        <v>0</v>
      </c>
      <c r="N46" s="74">
        <v>12</v>
      </c>
      <c r="O46" s="37">
        <f t="shared" si="22"/>
        <v>0</v>
      </c>
      <c r="P46" s="79">
        <f t="shared" si="23"/>
        <v>0</v>
      </c>
      <c r="Q46" s="80">
        <f t="shared" si="24"/>
        <v>0</v>
      </c>
    </row>
    <row r="47" spans="2:17" s="12" customFormat="1" x14ac:dyDescent="0.25">
      <c r="B47" s="222"/>
      <c r="C47" s="127">
        <f>IF(Green!C8=B25,B27,IF(Green!C8=C25,C27,IF(Green!C8=D25,D27,IF(Green!C8=E25,E27,IF(Green!C8=F25,F27,IF(Green!C8=G25,G27,0))))))</f>
        <v>1830</v>
      </c>
      <c r="D47" s="127">
        <v>4100</v>
      </c>
      <c r="E47" s="127">
        <f t="shared" si="16"/>
        <v>7.5030000000000001</v>
      </c>
      <c r="F47" s="127">
        <f t="shared" si="17"/>
        <v>11.86</v>
      </c>
      <c r="G47" s="37">
        <f>IF(Green!C8=B25,B28,IF(Green!C8=C25,C28,IF(Green!C8=D25,D28,IF(Green!C8=E25,E28,IF(Green!C8=F25,F28,IF(Green!C8=G25,G28,0))))))</f>
        <v>78.239999999999995</v>
      </c>
      <c r="H47" s="39">
        <f t="shared" si="18"/>
        <v>587.03471999999999</v>
      </c>
      <c r="I47" s="38">
        <f>IF(Green!D15&lt;L6,0,IF(Green!D15&lt;=M6,Green!D15,0))</f>
        <v>0</v>
      </c>
      <c r="J47" s="127">
        <f>IF(Green!C15&lt;N6,0,IF(Green!C15&lt;=O6,Green!C15,0))</f>
        <v>0</v>
      </c>
      <c r="K47" s="125">
        <f t="shared" si="19"/>
        <v>0</v>
      </c>
      <c r="L47" s="127">
        <f t="shared" si="20"/>
        <v>0</v>
      </c>
      <c r="M47" s="78">
        <f t="shared" si="21"/>
        <v>0</v>
      </c>
      <c r="N47" s="74">
        <v>12</v>
      </c>
      <c r="O47" s="37">
        <f t="shared" si="22"/>
        <v>0</v>
      </c>
      <c r="P47" s="79">
        <f t="shared" si="23"/>
        <v>0</v>
      </c>
      <c r="Q47" s="80">
        <f t="shared" si="24"/>
        <v>0</v>
      </c>
    </row>
    <row r="48" spans="2:17" s="12" customFormat="1" ht="15.75" thickBot="1" x14ac:dyDescent="0.3">
      <c r="B48" s="223"/>
      <c r="C48" s="81">
        <f>IF(Green!C8=B25,B27,IF(Green!C8=C25,C27,IF(Green!C8=D25,D27,IF(Green!C8=E25,E27,IF(Green!C8=F25,F27,IF(Green!C8=G25,G27,0))))))</f>
        <v>1830</v>
      </c>
      <c r="D48" s="81">
        <v>4100</v>
      </c>
      <c r="E48" s="81">
        <f t="shared" si="16"/>
        <v>7.5030000000000001</v>
      </c>
      <c r="F48" s="81">
        <f t="shared" si="17"/>
        <v>11.86</v>
      </c>
      <c r="G48" s="43">
        <f>IF(Green!C8=B25,B28,IF(Green!C8=C25,C28,IF(Green!C8=D25,D28,IF(Green!C8=E25,E28,IF(Green!C8=F25,F28,IF(Green!C8=G25,G28,0))))))</f>
        <v>78.239999999999995</v>
      </c>
      <c r="H48" s="44">
        <f t="shared" si="18"/>
        <v>587.03471999999999</v>
      </c>
      <c r="I48" s="42">
        <f>IF(Green!D16&lt;L6,0,IF(Green!D16&lt;=M6,Green!D16,0))</f>
        <v>0</v>
      </c>
      <c r="J48" s="81">
        <f>IF(Green!C16&lt;N6,0,IF(Green!C16&lt;=O6,Green!C16,0))</f>
        <v>0</v>
      </c>
      <c r="K48" s="85">
        <f t="shared" si="19"/>
        <v>0</v>
      </c>
      <c r="L48" s="81">
        <f t="shared" si="20"/>
        <v>0</v>
      </c>
      <c r="M48" s="86">
        <f t="shared" si="21"/>
        <v>0</v>
      </c>
      <c r="N48" s="74">
        <v>12</v>
      </c>
      <c r="O48" s="43">
        <f t="shared" si="22"/>
        <v>0</v>
      </c>
      <c r="P48" s="87">
        <f t="shared" si="23"/>
        <v>0</v>
      </c>
      <c r="Q48" s="88">
        <f t="shared" si="24"/>
        <v>0</v>
      </c>
    </row>
    <row r="49" spans="4:17" s="12" customFormat="1" x14ac:dyDescent="0.25">
      <c r="Q49" s="90"/>
    </row>
    <row r="50" spans="4:17" s="12" customFormat="1" ht="15.75" thickBot="1" x14ac:dyDescent="0.3">
      <c r="Q50" s="90"/>
    </row>
    <row r="51" spans="4:17" s="12" customFormat="1" ht="15.75" thickBot="1" x14ac:dyDescent="0.3">
      <c r="D51" s="218" t="s">
        <v>62</v>
      </c>
      <c r="E51" s="219"/>
      <c r="F51" s="219"/>
      <c r="G51" s="219"/>
      <c r="H51" s="219"/>
      <c r="I51" s="219"/>
      <c r="J51" s="219"/>
      <c r="K51" s="220"/>
      <c r="L51" s="221"/>
    </row>
    <row r="52" spans="4:17" s="1" customFormat="1" ht="30.75" thickBot="1" x14ac:dyDescent="0.3">
      <c r="D52" s="62" t="s">
        <v>0</v>
      </c>
      <c r="E52" s="63" t="s">
        <v>3</v>
      </c>
      <c r="F52" s="63" t="s">
        <v>5</v>
      </c>
      <c r="G52" s="63" t="s">
        <v>4</v>
      </c>
      <c r="H52" s="63" t="s">
        <v>8</v>
      </c>
      <c r="I52" s="63" t="s">
        <v>7</v>
      </c>
      <c r="J52" s="63" t="s">
        <v>11</v>
      </c>
      <c r="K52" s="65" t="s">
        <v>57</v>
      </c>
      <c r="L52" s="68" t="s">
        <v>22</v>
      </c>
    </row>
    <row r="53" spans="4:17" s="12" customFormat="1" ht="15.95" customHeight="1" x14ac:dyDescent="0.25">
      <c r="D53" s="215" t="str">
        <f>Green!C8</f>
        <v>SUE (шагрень), черная сердцевина, 12 мм</v>
      </c>
      <c r="E53" s="124">
        <v>1</v>
      </c>
      <c r="F53" s="70">
        <f>IF(Green!D12&lt;L7,0,IF(Green!D12&lt;M7,Green!D12,0))</f>
        <v>0</v>
      </c>
      <c r="G53" s="70">
        <f>IF(Green!C12&lt;=N7,N7,IF(Green!C12&lt;=D2,684,IF(Green!C12&lt;=E2,1368,IF(Green!C12&lt;=F2,2052,IF(Green!C12&lt;=G2,2736,IF(Green!C12&lt;=H2,3420,IF(Green!C12&lt;=I2,4100,0)))))))</f>
        <v>1360</v>
      </c>
      <c r="H53" s="70">
        <f>(F53*G53)/1000000</f>
        <v>0</v>
      </c>
      <c r="I53" s="70">
        <f>IF(F53=0,0,IF(G53=0,0,(F53+G53)*2/1000))</f>
        <v>0</v>
      </c>
      <c r="J53" s="71">
        <f>IF(Green!C8=B25,B28,IF(Green!C8=C25,C28,IF(Green!C8=D25,D28,IF(Green!C8=E25,E28,IF(Green!C8=F25,F28,IF(Green!C8=G25,G28,0))))))</f>
        <v>78.239999999999995</v>
      </c>
      <c r="K53" s="92">
        <v>16</v>
      </c>
      <c r="L53" s="75">
        <f>ROUNDUP((H53*J53)+(I53*K53),0)</f>
        <v>0</v>
      </c>
    </row>
    <row r="54" spans="4:17" s="12" customFormat="1" ht="15.95" customHeight="1" x14ac:dyDescent="0.25">
      <c r="D54" s="216"/>
      <c r="E54" s="126">
        <v>2</v>
      </c>
      <c r="F54" s="127">
        <f>IF(Green!D13&lt;L7,0,IF(Green!D13&lt;M7,Green!D13,0))</f>
        <v>0</v>
      </c>
      <c r="G54" s="127">
        <f>IF(Green!C13&lt;=N7,N7,IF(Green!C13&lt;=D2,684,IF(Green!C13&lt;=E2,1368,IF(Green!C13&lt;=F2,2052,IF(Green!C13&lt;=G2,2736,IF(Green!C13&lt;=H2,3420,IF(Green!C13&lt;=I2,4100,0)))))))</f>
        <v>1360</v>
      </c>
      <c r="H54" s="127">
        <f t="shared" ref="H54:H57" si="25">(F54*G54)/1000000</f>
        <v>0</v>
      </c>
      <c r="I54" s="127">
        <f t="shared" ref="I54:I57" si="26">IF(F54=0,0,IF(G54=0,0,(F54+G54)*2/1000))</f>
        <v>0</v>
      </c>
      <c r="J54" s="37">
        <f>IF(Green!C8=B25,B28,IF(Green!C8=C25,C28,IF(Green!C8=D25,D28,IF(Green!C8=E25,E28,IF(Green!C8=F25,F28,IF(Green!C8=G25,G28,0))))))</f>
        <v>78.239999999999995</v>
      </c>
      <c r="K54" s="92">
        <v>16</v>
      </c>
      <c r="L54" s="79">
        <f t="shared" ref="L54:L57" si="27">ROUNDUP((H54*J54)+(I54*K54),0)</f>
        <v>0</v>
      </c>
    </row>
    <row r="55" spans="4:17" s="12" customFormat="1" ht="15.95" customHeight="1" x14ac:dyDescent="0.25">
      <c r="D55" s="216"/>
      <c r="E55" s="126">
        <v>3</v>
      </c>
      <c r="F55" s="127">
        <f>IF(Green!D14&lt;L7,0,IF(Green!D14&lt;M7,Green!D14,0))</f>
        <v>0</v>
      </c>
      <c r="G55" s="127">
        <f>IF(Green!C14&lt;=N7,N7,IF(Green!C14&lt;=D2,684,IF(Green!C14&lt;=E2,1368,IF(Green!C14&lt;=F2,2052,IF(Green!C14&lt;=G2,2736,IF(Green!C14&lt;=H2,3420,IF(Green!C14&lt;=I2,4100,0)))))))</f>
        <v>1360</v>
      </c>
      <c r="H55" s="127">
        <f t="shared" si="25"/>
        <v>0</v>
      </c>
      <c r="I55" s="127">
        <f t="shared" si="26"/>
        <v>0</v>
      </c>
      <c r="J55" s="37">
        <f>IF(Green!C8=B25,B28,IF(Green!C8=C25,C28,IF(Green!C8=D25,D28,IF(Green!C8=E25,E28,IF(Green!C8=F25,F28,IF(Green!C8=G25,G28,0))))))</f>
        <v>78.239999999999995</v>
      </c>
      <c r="K55" s="92">
        <v>16</v>
      </c>
      <c r="L55" s="79">
        <f t="shared" si="27"/>
        <v>0</v>
      </c>
    </row>
    <row r="56" spans="4:17" s="12" customFormat="1" ht="15.95" customHeight="1" x14ac:dyDescent="0.25">
      <c r="D56" s="216"/>
      <c r="E56" s="126">
        <v>4</v>
      </c>
      <c r="F56" s="127">
        <f>IF(Green!D15&lt;L7,0,IF(Green!D15&lt;M7,Green!D15,0))</f>
        <v>0</v>
      </c>
      <c r="G56" s="127">
        <f>IF(Green!C15&lt;=N7,N7,IF(Green!C15&lt;=D2,684,IF(Green!C15&lt;=E2,1368,IF(Green!C15&lt;=F2,2052,IF(Green!C15&lt;=G2,2736,IF(Green!C15&lt;=H2,3420,IF(Green!C15&lt;=I2,4100,0)))))))</f>
        <v>1360</v>
      </c>
      <c r="H56" s="127">
        <f t="shared" si="25"/>
        <v>0</v>
      </c>
      <c r="I56" s="127">
        <f t="shared" si="26"/>
        <v>0</v>
      </c>
      <c r="J56" s="37">
        <f>IF(Green!C8=B25,B28,IF(Green!C8=C25,C28,IF(Green!C8=D25,D28,IF(Green!C8=E25,E28,IF(Green!C8=F25,F28,IF(Green!C8=G25,G28,0))))))</f>
        <v>78.239999999999995</v>
      </c>
      <c r="K56" s="92">
        <v>16</v>
      </c>
      <c r="L56" s="79">
        <f t="shared" si="27"/>
        <v>0</v>
      </c>
    </row>
    <row r="57" spans="4:17" s="12" customFormat="1" ht="15.95" customHeight="1" thickBot="1" x14ac:dyDescent="0.3">
      <c r="D57" s="217"/>
      <c r="E57" s="93">
        <v>5</v>
      </c>
      <c r="F57" s="81">
        <f>IF(Green!D16&lt;L7,0,IF(Green!D16&lt;M7,Green!D16,0))</f>
        <v>0</v>
      </c>
      <c r="G57" s="81">
        <f>IF(Green!C16&lt;=N7,N7,IF(Green!C16&lt;=D2,684,IF(Green!C16&lt;=E2,1368,IF(Green!C16&lt;=F2,2052,IF(Green!C16&lt;=G2,2736,IF(Green!C16&lt;=H2,3420,IF(Green!C16&lt;=I2,4100,0)))))))</f>
        <v>1360</v>
      </c>
      <c r="H57" s="81">
        <f t="shared" si="25"/>
        <v>0</v>
      </c>
      <c r="I57" s="81">
        <f t="shared" si="26"/>
        <v>0</v>
      </c>
      <c r="J57" s="43">
        <f>IF(Green!C8=B25,B28,IF(Green!C8=C25,C28,IF(Green!C8=D25,D28,IF(Green!C8=E25,E28,IF(Green!C8=F25,F28,IF(Green!C8=G25,G28,0))))))</f>
        <v>78.239999999999995</v>
      </c>
      <c r="K57" s="92">
        <v>16</v>
      </c>
      <c r="L57" s="87">
        <f t="shared" si="27"/>
        <v>0</v>
      </c>
    </row>
    <row r="58" spans="4:17" s="12" customFormat="1" x14ac:dyDescent="0.25"/>
    <row r="59" spans="4:17" s="12" customFormat="1" x14ac:dyDescent="0.25"/>
    <row r="60" spans="4:17" s="12" customFormat="1" x14ac:dyDescent="0.25"/>
  </sheetData>
  <sheetProtection algorithmName="SHA-512" hashValue="5/eupeHLipj4wy3Iqv0BMsBJ1m9olHlba+ryvqO5iDuFaAYlV8Vyzc05VaqYwlYMHfCyTU4Abye/iK0fOFbRDQ==" saltValue="wA/WBd7iJAHXIlZVkDGgrA==" spinCount="100000" sheet="1" objects="1" scenarios="1"/>
  <protectedRanges>
    <protectedRange sqref="B28:G28" name="Диапазон3_1"/>
    <protectedRange sqref="B24:G24 B27:G27 B25:E26 G25:G26" name="Диапазон3_2"/>
    <protectedRange sqref="D2:I2" name="Диапазон1_1"/>
    <protectedRange sqref="L4:O7" name="Диапазон6_1"/>
    <protectedRange sqref="F25:F26" name="Диапазон3"/>
  </protectedRanges>
  <mergeCells count="18">
    <mergeCell ref="B1:I1"/>
    <mergeCell ref="K1:O1"/>
    <mergeCell ref="K2:K3"/>
    <mergeCell ref="L2:M2"/>
    <mergeCell ref="N2:O2"/>
    <mergeCell ref="B3:B5"/>
    <mergeCell ref="D53:D57"/>
    <mergeCell ref="B6:B7"/>
    <mergeCell ref="B10:G10"/>
    <mergeCell ref="I10:N10"/>
    <mergeCell ref="P10:U10"/>
    <mergeCell ref="B29:G29"/>
    <mergeCell ref="B30:G30"/>
    <mergeCell ref="B33:P33"/>
    <mergeCell ref="B35:B39"/>
    <mergeCell ref="B42:P42"/>
    <mergeCell ref="B44:B48"/>
    <mergeCell ref="D51:L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FMX</vt:lpstr>
      <vt:lpstr>Green</vt:lpstr>
      <vt:lpstr>ДАТ</vt:lpstr>
      <vt:lpstr>ДАТ2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Admin</cp:lastModifiedBy>
  <cp:lastPrinted>2022-04-26T14:33:49Z</cp:lastPrinted>
  <dcterms:created xsi:type="dcterms:W3CDTF">2015-06-05T18:19:34Z</dcterms:created>
  <dcterms:modified xsi:type="dcterms:W3CDTF">2023-03-23T11:29:32Z</dcterms:modified>
</cp:coreProperties>
</file>